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50" windowHeight="12195" firstSheet="1" activeTab="1"/>
  </bookViews>
  <sheets>
    <sheet name="POA H.A." sheetId="1" state="hidden" r:id="rId1"/>
    <sheet name="POA H.A" sheetId="2" r:id="rId2"/>
    <sheet name="DESAGREGACION DE RUBRO" sheetId="3" state="hidden" r:id="rId3"/>
    <sheet name="real" sheetId="4" state="hidden" r:id="rId4"/>
    <sheet name="POA H.B." sheetId="5" r:id="rId5"/>
    <sheet name="POA H.C. " sheetId="6" r:id="rId6"/>
    <sheet name="POA H.D." sheetId="7" r:id="rId7"/>
  </sheets>
  <definedNames>
    <definedName name="_xlnm.Print_Area" localSheetId="1">'POA H.A'!$A$1:$S$42</definedName>
    <definedName name="_xlnm.Print_Area" localSheetId="0">'POA H.A.'!$A$1:$U$38</definedName>
    <definedName name="_xlnm.Print_Titles" localSheetId="4">'POA H.B.'!$1:$8</definedName>
    <definedName name="_xlnm.Print_Titles" localSheetId="3">'real'!$1:$8</definedName>
  </definedNames>
  <calcPr fullCalcOnLoad="1"/>
</workbook>
</file>

<file path=xl/comments1.xml><?xml version="1.0" encoding="utf-8"?>
<comments xmlns="http://schemas.openxmlformats.org/spreadsheetml/2006/main">
  <authors>
    <author>grodriguez</author>
    <author>Celia Vel?squez</author>
    <author>Monica</author>
  </authors>
  <commentList>
    <comment ref="L13" authorId="0">
      <text>
        <r>
          <rPr>
            <b/>
            <sz val="9"/>
            <rFont val="Tahoma"/>
            <family val="2"/>
          </rPr>
          <t>CADA ACTIVIDAD POA DEBE TENER SU PRESUPUESTO INDEPENDIENTE</t>
        </r>
      </text>
    </comment>
    <comment ref="B13" authorId="1">
      <text>
        <r>
          <rPr>
            <sz val="9"/>
            <rFont val="Tahoma"/>
            <family val="2"/>
          </rPr>
          <t xml:space="preserve">Inserte las filas que sean necesarias
</t>
        </r>
      </text>
    </comment>
    <comment ref="A12" authorId="2">
      <text>
        <r>
          <rPr>
            <b/>
            <sz val="9"/>
            <rFont val="Tahoma"/>
            <family val="2"/>
          </rPr>
          <t>Monica:</t>
        </r>
        <r>
          <rPr>
            <sz val="9"/>
            <rFont val="Tahoma"/>
            <family val="2"/>
          </rPr>
          <t xml:space="preserve">
Los gastos operativos de inversión no suman al techo presupuestal del proyecto</t>
        </r>
      </text>
    </comment>
  </commentList>
</comments>
</file>

<file path=xl/comments2.xml><?xml version="1.0" encoding="utf-8"?>
<comments xmlns="http://schemas.openxmlformats.org/spreadsheetml/2006/main">
  <authors>
    <author>Monica</author>
    <author>Celia Vel?squez</author>
    <author>grodriguez</author>
  </authors>
  <commentList>
    <comment ref="A12" authorId="0">
      <text>
        <r>
          <rPr>
            <b/>
            <sz val="9"/>
            <rFont val="Tahoma"/>
            <family val="2"/>
          </rPr>
          <t>Monica:</t>
        </r>
        <r>
          <rPr>
            <sz val="9"/>
            <rFont val="Tahoma"/>
            <family val="2"/>
          </rPr>
          <t xml:space="preserve">
Los gastos operativos de inversión no suman al techo presupuestal del proyecto</t>
        </r>
      </text>
    </comment>
    <comment ref="B13" authorId="1">
      <text>
        <r>
          <rPr>
            <sz val="9"/>
            <rFont val="Tahoma"/>
            <family val="2"/>
          </rPr>
          <t xml:space="preserve">Inserte las filas que sean necesarias
</t>
        </r>
      </text>
    </comment>
    <comment ref="L13" authorId="2">
      <text>
        <r>
          <rPr>
            <b/>
            <sz val="9"/>
            <rFont val="Tahoma"/>
            <family val="2"/>
          </rPr>
          <t>CADA ACTIVIDAD POA DEBE TENER SU PRESUPUESTO INDEPENDIENTE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F1" authorId="0">
      <text>
        <r>
          <rPr>
            <sz val="10"/>
            <color indexed="8"/>
            <rFont val="Arial"/>
            <family val="2"/>
          </rPr>
          <t>======
ID#AAAAKzeuJrs
Celia Velasquez    (2020-11-19 15:41:21)
TECHO FUENTE 950.361.600</t>
        </r>
      </text>
    </comment>
  </commentList>
</comments>
</file>

<file path=xl/comments4.xml><?xml version="1.0" encoding="utf-8"?>
<comments xmlns="http://schemas.openxmlformats.org/spreadsheetml/2006/main">
  <authors>
    <author>Monica</author>
  </authors>
  <commentList>
    <comment ref="A97" authorId="0">
      <text>
        <r>
          <rPr>
            <b/>
            <sz val="9"/>
            <rFont val="Tahoma"/>
            <family val="2"/>
          </rPr>
          <t>Monica:</t>
        </r>
        <r>
          <rPr>
            <sz val="9"/>
            <rFont val="Tahoma"/>
            <family val="2"/>
          </rPr>
          <t xml:space="preserve">
Los gastos operativos de inversión no suman al techo presupuestal del proyecto</t>
        </r>
      </text>
    </comment>
  </commentList>
</comments>
</file>

<file path=xl/comments5.xml><?xml version="1.0" encoding="utf-8"?>
<comments xmlns="http://schemas.openxmlformats.org/spreadsheetml/2006/main">
  <authors>
    <author>Monica</author>
  </authors>
  <commentList>
    <comment ref="E100" authorId="0">
      <text>
        <r>
          <rPr>
            <b/>
            <sz val="9"/>
            <rFont val="Tahoma"/>
            <family val="2"/>
          </rPr>
          <t>Monica:</t>
        </r>
        <r>
          <rPr>
            <sz val="9"/>
            <rFont val="Tahoma"/>
            <family val="2"/>
          </rPr>
          <t xml:space="preserve">
Los gastos operativos de inversión no suman al techo presupuestal del proyecto</t>
        </r>
      </text>
    </comment>
  </commentList>
</comments>
</file>

<file path=xl/sharedStrings.xml><?xml version="1.0" encoding="utf-8"?>
<sst xmlns="http://schemas.openxmlformats.org/spreadsheetml/2006/main" count="1266" uniqueCount="575">
  <si>
    <t>PRESUPUESTO</t>
  </si>
  <si>
    <t>VALOR ($)</t>
  </si>
  <si>
    <t>PROYECTO:</t>
  </si>
  <si>
    <t xml:space="preserve">LINEA ESTRATEGICA DEL PGAR: </t>
  </si>
  <si>
    <t>(+ o -)</t>
  </si>
  <si>
    <t>No.</t>
  </si>
  <si>
    <t>LOCALIZACION  (Región, municipio, zona o área)</t>
  </si>
  <si>
    <t>INDICADORES CLAVES DE RENDIMIENTO O GESTION</t>
  </si>
  <si>
    <t>POA</t>
  </si>
  <si>
    <t>TOTAL</t>
  </si>
  <si>
    <t>ELABORÓ</t>
  </si>
  <si>
    <t>NOMBRE</t>
  </si>
  <si>
    <t>CARGO / ROL</t>
  </si>
  <si>
    <t>FECHA</t>
  </si>
  <si>
    <t>CORPORACIÓN AUTONOMA REGIONAL DE BOYACÁ</t>
  </si>
  <si>
    <t xml:space="preserve">CONCEPTO </t>
  </si>
  <si>
    <t xml:space="preserve">PERFIL </t>
  </si>
  <si>
    <t>CANTIDAD</t>
  </si>
  <si>
    <t>VALOR MENSUAL $</t>
  </si>
  <si>
    <t>No. DE MESES</t>
  </si>
  <si>
    <t>VALOR TOTAL $</t>
  </si>
  <si>
    <t>CRONOGRAMA DE ADQUISICION</t>
  </si>
  <si>
    <t>ENERO</t>
  </si>
  <si>
    <t>MARZO</t>
  </si>
  <si>
    <t>ABRIL</t>
  </si>
  <si>
    <t>MAYO</t>
  </si>
  <si>
    <t>JUNIO</t>
  </si>
  <si>
    <t>JULIO</t>
  </si>
  <si>
    <t>AGOSTO</t>
  </si>
  <si>
    <t>SUBTOTAL $</t>
  </si>
  <si>
    <t xml:space="preserve">MATERIALES E INSUMOS </t>
  </si>
  <si>
    <t>DESCRIPCIÓN</t>
  </si>
  <si>
    <t>UNIDAD</t>
  </si>
  <si>
    <t>VALOR UNITARIO $</t>
  </si>
  <si>
    <t>MAQUINARIA Y EQUIPOS</t>
  </si>
  <si>
    <t>UNIDAD DE MEDIDA</t>
  </si>
  <si>
    <t>VALOR TOTAL</t>
  </si>
  <si>
    <t>SOFTWARE (LICENCIAS )</t>
  </si>
  <si>
    <t xml:space="preserve">CONVENIOS </t>
  </si>
  <si>
    <t>PLAZO</t>
  </si>
  <si>
    <t>APORTE CORPOBOYACA</t>
  </si>
  <si>
    <t>APORTE CONTRAPARTIDA</t>
  </si>
  <si>
    <t>ENTE EJECUTOR</t>
  </si>
  <si>
    <t>CONSULTORIAS</t>
  </si>
  <si>
    <t>OTROS SERVICIOS</t>
  </si>
  <si>
    <t>NOMBRE DEL PROYECTO</t>
  </si>
  <si>
    <t>LINEA ESTRATEGICA PGAR</t>
  </si>
  <si>
    <t>PROGRAMA</t>
  </si>
  <si>
    <t>TOTAL ELEMENTOS</t>
  </si>
  <si>
    <t>CORPORACIÓN AUTÓNOMA REGIONAL DE BOYACÁ</t>
  </si>
  <si>
    <t>SISTEMA INTEGRADO DE GESTIÓN DE LA CALIDAD</t>
  </si>
  <si>
    <t>FORMATO DE REGISTRO</t>
  </si>
  <si>
    <t>FEV-16</t>
  </si>
  <si>
    <t>PLAN OPERATIVO ANUAL DE INVERSIÓN</t>
  </si>
  <si>
    <t>SEPT.</t>
  </si>
  <si>
    <t>OCT.</t>
  </si>
  <si>
    <t>NOV.</t>
  </si>
  <si>
    <t>DIC.</t>
  </si>
  <si>
    <t>FEB.</t>
  </si>
  <si>
    <t>PROGRAMA PLAN DE ACCIÓN:</t>
  </si>
  <si>
    <t>RUBRO PRESUPUESTAL:</t>
  </si>
  <si>
    <t>PA</t>
  </si>
  <si>
    <t>METAS Y COSTOS DEL PROYECTO</t>
  </si>
  <si>
    <t>DESCRIPCIÓN CAMBIO</t>
  </si>
  <si>
    <t>Página 1 de 4</t>
  </si>
  <si>
    <t>Página 2 de 4</t>
  </si>
  <si>
    <t>Página 3 de 4</t>
  </si>
  <si>
    <t>Página 4 de 4</t>
  </si>
  <si>
    <t>DESCRIPCION DEL ELEMENTO</t>
  </si>
  <si>
    <t>CODIGO ALMACEN</t>
  </si>
  <si>
    <t>VALOR TOTAL  $</t>
  </si>
  <si>
    <t>INDICADOR</t>
  </si>
  <si>
    <t>TOTAL RECURSOS DE INVERSION  (en miles de pesos)</t>
  </si>
  <si>
    <t>TOTAL META FISICA</t>
  </si>
  <si>
    <t>Profesional especializado</t>
  </si>
  <si>
    <t>Profesional universitario</t>
  </si>
  <si>
    <t>Tecnico</t>
  </si>
  <si>
    <t>Asistencial</t>
  </si>
  <si>
    <t>GRADO</t>
  </si>
  <si>
    <t>VALOR ANUAL</t>
  </si>
  <si>
    <t>Asesor</t>
  </si>
  <si>
    <t>CODIGO</t>
  </si>
  <si>
    <t>DENOMINACION</t>
  </si>
  <si>
    <t>VERSION</t>
  </si>
  <si>
    <t>APROBÓ</t>
  </si>
  <si>
    <t>PLANTA PERSONAL  (SI APLICA)</t>
  </si>
  <si>
    <t>GASTOS OPERATIVOS</t>
  </si>
  <si>
    <t>TOTAL $</t>
  </si>
  <si>
    <t>Viaticos</t>
  </si>
  <si>
    <t>Adición / reducción (1):</t>
  </si>
  <si>
    <t>Adición / reducción (2):</t>
  </si>
  <si>
    <t>Adición / reducción (3):</t>
  </si>
  <si>
    <t>EVALUACIÓN MISIONAL</t>
  </si>
  <si>
    <t>FUENTE DE RECURSOS $</t>
  </si>
  <si>
    <t>TOTAL PROGRAMADO</t>
  </si>
  <si>
    <t>A. - PLAN OPERATIVO ANUAL DE INVERSIÓN</t>
  </si>
  <si>
    <t xml:space="preserve">Presupuesto asignado: </t>
  </si>
  <si>
    <t>ACTIVIDAD</t>
  </si>
  <si>
    <t>LINEA BASE</t>
  </si>
  <si>
    <t>ACTIVIDADES POA</t>
  </si>
  <si>
    <t>SUBTOTAL</t>
  </si>
  <si>
    <t>TOTAL COSTOS PROYECTOS</t>
  </si>
  <si>
    <t>GASTOS OPERATIVOS DE INVERSION</t>
  </si>
  <si>
    <t>TECHO PRESUPUESTAL PROYECTO</t>
  </si>
  <si>
    <t xml:space="preserve">ACTIVIDADES ACCIONES OPERATIVAS  PROYECTO PA </t>
  </si>
  <si>
    <t>Otros</t>
  </si>
  <si>
    <t>Transporte de pesajeros</t>
  </si>
  <si>
    <t>Vehiculos (servicio alquiler de vehiculos)</t>
  </si>
  <si>
    <t>Bienes y servicios Almacen (materiales y suministros)</t>
  </si>
  <si>
    <t>OBJETIVO DEL PROYECTO</t>
  </si>
  <si>
    <t>D. -  ACCIONES OPERATIVAS PROYECTO - CUATRIENIO</t>
  </si>
  <si>
    <t>NOMBRE PROYECTO</t>
  </si>
  <si>
    <t>Tasa por Uso del Agua - Vigencia 2020 - Vigencia 2020</t>
  </si>
  <si>
    <t>Tasa por Uso del Agua  - Recuperación de cartera</t>
  </si>
  <si>
    <t>Tasa por Uso del Agua  - Rendimientos Financieros</t>
  </si>
  <si>
    <t>Tasa por Uso del Agua  - Excedentes Financieros</t>
  </si>
  <si>
    <t>Tasa Retributiva por  Vertimientos  - Vigencia 2020 - Vigencia 2020</t>
  </si>
  <si>
    <t>Tasa Retributiva por  Vertimientos   - Recuperación de cartera</t>
  </si>
  <si>
    <t>Tasa Retributiva por  Vertimientos   - Rendimientos Financieros</t>
  </si>
  <si>
    <t>Tasa Retributiva por  Vertimientos   - Excedentes Financieros</t>
  </si>
  <si>
    <t>Tasa Compensatoria por Caza de Fauna Silvestre - Vigencia 2020 - Vigencia 2020</t>
  </si>
  <si>
    <t>Tasa Aprovechamiento Forestal  - Excedentes Financieros</t>
  </si>
  <si>
    <t>Evaluación y Seguimiento  de Licencias y Trámites Ambientales,  y Expedición de Salvoconductos S- Movilización de Madera - Vigencia 2020</t>
  </si>
  <si>
    <t>Evaluación y Seguimiento  de Licencias y Trámites Ambientales,  y Expedición de Salvoconductos S- Movilización de Madera - Recuperación de cartera</t>
  </si>
  <si>
    <t>Evaluación y Seguimiento  de Licencias y Trámites Ambientales,  y Expedición de Salvoconductos S- Movilización de Madera - Excedentes Financieros</t>
  </si>
  <si>
    <t>Derechos de Explotación de Recursos (Playa Blanca) - Vigencia 2020</t>
  </si>
  <si>
    <t>Derechos de Explotación de Recursos (Playa Blanca) - Recuperación de cartera</t>
  </si>
  <si>
    <t>Derechos de Explotación de Recursos (Playa Blanca) - Rendimientos Financieros</t>
  </si>
  <si>
    <t>Derechos de Explotación de Recursos (Playa Blanca) - Excedentes Financieros</t>
  </si>
  <si>
    <t>Multas, Sanciones y Reintegros, Devoluciones y Diversos - Vigencia 2020</t>
  </si>
  <si>
    <t>Multas, Sanciones y Reintegros, Devoluciones y Diversos - Recuperación de cartera</t>
  </si>
  <si>
    <t>Multas, Sanciones y Reintegros, Devoluciones y Diversos - Rendimientos Financieros</t>
  </si>
  <si>
    <t>Multas, Sanciones y Reintegros, Devoluciones y Diversos - Excedentes Financieros</t>
  </si>
  <si>
    <t>Sobretasa Y/O Porcentaje  Ambiental Al Impuesto Predial   - Vigencia 2020</t>
  </si>
  <si>
    <t>Sobretasa Y/O Porcentaje  Ambiental Al Impuesto Predial   - Recuperación de cartera</t>
  </si>
  <si>
    <t>Sobretasa Y/O Porcentaje  Ambiental Al Impuesto Predial   - Rendimientos Financieros</t>
  </si>
  <si>
    <t>Sobretasa Y/O Porcentaje  Ambiental Al Impuesto Predial   - Excedentes Financieros</t>
  </si>
  <si>
    <t>Aportes Nación para Funcionamiento - PGN   - Vigencia 2020</t>
  </si>
  <si>
    <t>Aportes Nación para Inversión- PGN   - Vigencia 2020</t>
  </si>
  <si>
    <t>Termoeléctrico- GENSA  - Vigencia 2020</t>
  </si>
  <si>
    <t>Termoeléctrico- GENSA  - Recuperación de cartera</t>
  </si>
  <si>
    <t>Termoeléctrico- GENSA  - Rendimientos Financieros</t>
  </si>
  <si>
    <t>Termoeléctrico- GENSA  - Excedentes Financieros</t>
  </si>
  <si>
    <t>Termoeléctrico- Electro Sochagota  - Vigencia 2020</t>
  </si>
  <si>
    <t>Termoeléctrico- Electro Sochagota  - Recuperación de cartera</t>
  </si>
  <si>
    <t>Termoeléctrico- Electro Sochagota  - Rendimientos Financieros</t>
  </si>
  <si>
    <t>Termoeléctrico- Electro Sochagota  - Excedentes Financieros</t>
  </si>
  <si>
    <t>Hidroeléctrico - Hidrosogamoso  - Vigencia 2020</t>
  </si>
  <si>
    <t>Hidroeléctrico - Hidrosogamoso  - Recuperación de cartera</t>
  </si>
  <si>
    <t>Hidroeléctrico - Hidrosogamoso  - Rendimientos Financieros</t>
  </si>
  <si>
    <t>Hidroeléctrico - Hidrosogamoso  - Excedentes Financieros</t>
  </si>
  <si>
    <t>Hidroeléctrico- Chivor  - Vigencia 2020</t>
  </si>
  <si>
    <t>Hidroeléctrico- Chivor  - Recuperación de cartera</t>
  </si>
  <si>
    <t>Hidroeléctrico- Chivor  - Rendimientos Financieros</t>
  </si>
  <si>
    <t>Hidroeléctrico- Chivor  - Excedentes Financieros</t>
  </si>
  <si>
    <t>Autogeneración - OCENSA  - Vigencia 2020</t>
  </si>
  <si>
    <t>Autogeneración - OCENSA  - Recuperación de cartera</t>
  </si>
  <si>
    <t>Autogeneración - OCENSA  - Rendimientos Financieros</t>
  </si>
  <si>
    <t>Autogeneración - OCENSA  - Excedentes Financieros</t>
  </si>
  <si>
    <t>Autogeneración - ARGOS  - Vigencia 2020</t>
  </si>
  <si>
    <t>Autogeneración - ARGOS  - Recuperación de cartera</t>
  </si>
  <si>
    <t>Autogeneración - ARGOS  - Rendimientos Financieros</t>
  </si>
  <si>
    <t>Autogeneración - ARGOS  - Excedentes Financieros</t>
  </si>
  <si>
    <t>OBJETO</t>
  </si>
  <si>
    <t>EXPERIENCIA</t>
  </si>
  <si>
    <t>RECURSO HUMANO EXTERNO</t>
  </si>
  <si>
    <t>Versión 2</t>
  </si>
  <si>
    <t>Realizar la operación de las estaciones de monitoreo y laboratorio de calidad ambiental</t>
  </si>
  <si>
    <t>Realizar la operación del 100% de estaciones de monitoreo de calidad del agua</t>
  </si>
  <si>
    <t xml:space="preserve">jurisdiccion de corpoboyaca </t>
  </si>
  <si>
    <t>100% de la operación l  de estaciones de monitoreo de calidad del agua</t>
  </si>
  <si>
    <t>(Numero total de estaciones en  operación/Numero total de estaciones en instaladas)*100</t>
  </si>
  <si>
    <t>Porcentaje de estaciones operando</t>
  </si>
  <si>
    <t xml:space="preserve">Aportes Nación para Inversión- PGN  </t>
  </si>
  <si>
    <t xml:space="preserve">Realizar la operación del 100% de estaciones de calidad del aire </t>
  </si>
  <si>
    <t xml:space="preserve">Sogamoso - Nobsa - Paipa - Tunja </t>
  </si>
  <si>
    <t>100% de la operación l  de estaciones de monitoreo de calidad del aire</t>
  </si>
  <si>
    <t>(Numero total de estaciones instaladas/Numero total de estaciones de monitoreo en operación)*100</t>
  </si>
  <si>
    <t xml:space="preserve">Termoeléctrico- GENSA </t>
  </si>
  <si>
    <t>Monitorear el contaminante PM-10</t>
  </si>
  <si>
    <t>75% del monitoreo del contaminante PM-10</t>
  </si>
  <si>
    <t>(Numero de estaciones con representatividad temporal igual o superior a 75%/Numero de estaciones en operación)*100</t>
  </si>
  <si>
    <t>Monitorear el contaminante PM-2.5</t>
  </si>
  <si>
    <t>75% del monitoreo del contaminante PM-2.5</t>
  </si>
  <si>
    <t xml:space="preserve">Realizar la operación del laboratorio de calidad ambiental </t>
  </si>
  <si>
    <t>Tunja - Aquitania</t>
  </si>
  <si>
    <t xml:space="preserve">1  laboratorio de la calidad ambiental en operación </t>
  </si>
  <si>
    <t>(No. De laboratorios operando/No. Total de laboratorios existentes)*100</t>
  </si>
  <si>
    <t xml:space="preserve">Termoeléctrico- Electro Sochagota </t>
  </si>
  <si>
    <t>Generar y/o actualizar los protocolos de la matriz aire en las lineas de fuentes fijas, fuentes moviles, ruido, red de calidad del aire y olores</t>
  </si>
  <si>
    <t>Generar el 100% de  los protocolos de la matriz aire para la linea de olores</t>
  </si>
  <si>
    <t>100% de  los protocolos de la matriz aire para la linea de olores generados</t>
  </si>
  <si>
    <t>(No. De protocolos generados/No. De protocolos programados a generar)*100</t>
  </si>
  <si>
    <t>Porcentaje de avance en los protocolos actualizados y/o generados</t>
  </si>
  <si>
    <t xml:space="preserve">Implementar el 100% de las acciones priorizadas de Prevención y control de la contaminación del Aire en areas urbanas. </t>
  </si>
  <si>
    <t>Sogamoso - Nobsa</t>
  </si>
  <si>
    <t>100% de las acciones priorizadas de Prevención y control de la contaminación del Aire en areas urbanas. Implementadas</t>
  </si>
  <si>
    <t xml:space="preserve">(No. De acciones implementadas /No. De acciones programadas a implementar)*100 </t>
  </si>
  <si>
    <t xml:space="preserve">Hidroeléctrico - Hidrosogamoso </t>
  </si>
  <si>
    <t>Operativizar el laboratorio de calidad ambiental - sede central</t>
  </si>
  <si>
    <t>Ajustar los estudios y diseños para la construcción del laboratorio - Sede Central</t>
  </si>
  <si>
    <t>Tunja</t>
  </si>
  <si>
    <t>1 Ajuste a los estudios y diseños para la construcción del laboratorio - Sede Central</t>
  </si>
  <si>
    <t>(No. De estudios ajustados/No. De estudios programados a ajustar)*100</t>
  </si>
  <si>
    <t>Porcentaje de avance en la operatividad del laboratorio de calidad ambiental – Sede Central</t>
  </si>
  <si>
    <t>Realizar el proceso de contratación en el 100% de las etapas para el inicio de la construcción del laboratorio de calidad ambiental - sede central</t>
  </si>
  <si>
    <t>100%  de las etapas para el inicio de la construcción del laboratorio de calidad ambiental - sede central con proceso de contratación</t>
  </si>
  <si>
    <t>(No. De etapas del proceso contractual realizado/No. De etapas programadas a realizar)*100</t>
  </si>
  <si>
    <t>Realizar el seguimiento a la contaminación auditiva y mapas de ruido, según solicitud</t>
  </si>
  <si>
    <t>Atender el 100% de solicitudes allegadas y programadas relacionadas con la contaminación auditiva.</t>
  </si>
  <si>
    <t>100% de solicitudes allegadas y programadas relacionadas con la contaminación auditiva. Atendidas</t>
  </si>
  <si>
    <t>(No. De solicitudes atendidas/No. De solicitudes allegadas o programadas)*100</t>
  </si>
  <si>
    <t>Porcentaje  de seguimientos realizados según solicitud</t>
  </si>
  <si>
    <t>Realizar el reportes a la plataforma SIAC (agua – aire)</t>
  </si>
  <si>
    <t xml:space="preserve">Realizar la actualización y reporte al subsistema SIRH (reporte SIAC) </t>
  </si>
  <si>
    <t xml:space="preserve">100% de la  actualización y reporte al subsistema SIRH (reporte SIAC) </t>
  </si>
  <si>
    <t>(No. de registros reportados en el año/No. de registros esperados a ser reportados)*100</t>
  </si>
  <si>
    <t>Porcentaje de información reportada al SIAC</t>
  </si>
  <si>
    <t xml:space="preserve">Realizar la actualización y reporte al subsistema SISAIRE (reporte SIAC) </t>
  </si>
  <si>
    <t xml:space="preserve">100% de la actualización y reporte al subsistema SISAIRE (reporte SIAC) </t>
  </si>
  <si>
    <t xml:space="preserve">Autogeneración - OCENSA </t>
  </si>
  <si>
    <t>Realizar el monitoreo de las fuentes hídricas priorizadas de la jurisdicción</t>
  </si>
  <si>
    <t>Realizar el monitoreo al 100% de las fuentes hídricas y/o aguas termominerales priorizadas de la jurisdicción</t>
  </si>
  <si>
    <t>100% de las fuentes hídricas y/o aguas termominerales priorizadas de la jurisdicción con monitoreo</t>
  </si>
  <si>
    <t>(No. De monitoreos realizados/No. De monitoreos programados a realizar)*100</t>
  </si>
  <si>
    <t>Porcentaje de avance de los monitoreos priorizados</t>
  </si>
  <si>
    <t xml:space="preserve">Autogeneración - ARGOS </t>
  </si>
  <si>
    <t>Elaborar inventarios de emisiones en la jurisdicción</t>
  </si>
  <si>
    <t>Realiza la recopilación de información secundaria para el  inventario de emisiones de fuentes fijas, para el Valle de Sogamoso.</t>
  </si>
  <si>
    <t>Valle de Sogamoso</t>
  </si>
  <si>
    <t>1 documento con la recopilación de información secundaria para el  inventario de emisiones de fuentes fijas, para el Valle de Sogamoso.</t>
  </si>
  <si>
    <t>(No. De documentos construidos/No. De documentos programados a construir)*100</t>
  </si>
  <si>
    <t>Porcentaje  de avance en los inventarios de emisiones</t>
  </si>
  <si>
    <t xml:space="preserve">TOTAL </t>
  </si>
  <si>
    <t>FORTALECIMIENTO DEL SINA PARA LA GESTIÓN AMBIENTAL</t>
  </si>
  <si>
    <t>RESPONSABILIDAD ECOLÓGICA</t>
  </si>
  <si>
    <t>Redes de Monitoreo y Calidad Ambiental</t>
  </si>
  <si>
    <t>Formulacion POA, según Plan de Acción 2020-2023 Acciones Sostenibles</t>
  </si>
  <si>
    <t>DIEGO ALFREDO ROA NIÑO</t>
  </si>
  <si>
    <t>LUIS HAIR DUEÑAS GOMEZ</t>
  </si>
  <si>
    <t>Subdirector de Recursos naturales</t>
  </si>
  <si>
    <t>Responsable Proceso Evaluación Misional</t>
  </si>
  <si>
    <t>METAS AÑO (2020)</t>
  </si>
  <si>
    <t>Establecer el estado actual de los recursos naturales de la jurisdicción de Corpoboyacá (matriz agua y aire), a partir de información confiable, oportuna e imparcial para la toma de decisiones como autoridad ambiental.</t>
  </si>
  <si>
    <t>porcentaje</t>
  </si>
  <si>
    <t xml:space="preserve">Generar y/o actualizar los protocolos de la matriz aire en las líneas de fuentes fijas, fuentes móviles, ruido, red de calidad del aire y olores </t>
  </si>
  <si>
    <t xml:space="preserve">Realizar la actualización a los mapas de ruido
(poblaciones urbanas de municipios mayores a 100.000 habitantes) </t>
  </si>
  <si>
    <t>Números de mapas de ruido actualizados</t>
  </si>
  <si>
    <t>Número</t>
  </si>
  <si>
    <t xml:space="preserve">METAS AÑO (2020) </t>
  </si>
  <si>
    <t xml:space="preserve">COSTOS PROYECTOS  AÑO (2020) </t>
  </si>
  <si>
    <t xml:space="preserve">METAS AÑO (2021) </t>
  </si>
  <si>
    <t xml:space="preserve">COSTOS PORYECTOS  AÑO (2021) </t>
  </si>
  <si>
    <t xml:space="preserve">METAS AÑO (2022) </t>
  </si>
  <si>
    <t xml:space="preserve">COSTOS PORYECTOS  AÑO (2022) </t>
  </si>
  <si>
    <t xml:space="preserve">METAS AÑO (2023) </t>
  </si>
  <si>
    <t xml:space="preserve">COSTOS PORYECTOS  AÑO (2023) </t>
  </si>
  <si>
    <t>METAS AÑO (2021)</t>
  </si>
  <si>
    <t>B. - PROGRAMACION PLAN DE NECESIDADES  AÑO 2021</t>
  </si>
  <si>
    <t>C. - PROGRAMACION BIENES Y SERVICIOS  ALMACÉN AÑO  (2021)</t>
  </si>
  <si>
    <t>VALOR UNITARIO Incluido IVA $ 
(2021)</t>
  </si>
  <si>
    <t>TECHO FUENTES</t>
  </si>
  <si>
    <t>Sobretasa Y/O Porcentaje  Ambiental Al Impuesto Predial   - Vigencia 2021</t>
  </si>
  <si>
    <t>Evaluación y Seguimiento  de Licencias y Trámites Ambientales,  y Expedición de Salvoconductos S- Movilización de Madera - Vigencia 2021</t>
  </si>
  <si>
    <t>Hidroeléctrico - Hidrosogamoso  - Vigencia 2021</t>
  </si>
  <si>
    <t xml:space="preserve">Asistencial (conductor) </t>
  </si>
  <si>
    <t xml:space="preserve">experiencia mayor a 36 meses, 18 meses experiencia especifica  </t>
  </si>
  <si>
    <t xml:space="preserve">Tecnólogo Química Industrial </t>
  </si>
  <si>
    <t xml:space="preserve">con experiencia en manejo de estaciones de calidad del agua de 36 meses y 18 especifica </t>
  </si>
  <si>
    <t xml:space="preserve">Tecnólogo en Mantenimiento electromecánico </t>
  </si>
  <si>
    <t>con experiencia en manejo de estaciones de calidad del agua  de 36 meses y 18 especifica</t>
  </si>
  <si>
    <t xml:space="preserve">Químico de alimentos con posgrado </t>
  </si>
  <si>
    <t>Monitoreo calidad de agua</t>
  </si>
  <si>
    <t xml:space="preserve">Ingeniero Electronico: </t>
  </si>
  <si>
    <t xml:space="preserve">con experiencia de 37 a 48 meses y especifica en manejo de equipos de monitoreo de calidad del aire  </t>
  </si>
  <si>
    <t xml:space="preserve">Ingeniero Electronico: especialización en temas ambientales </t>
  </si>
  <si>
    <t>experiencia general 13 a 20 meses preferiblemente en manejo de equipos de monitoreo de calidad del aire</t>
  </si>
  <si>
    <t xml:space="preserve">Ingeniero de sistemas: especialista en temas ambientales  </t>
  </si>
  <si>
    <t xml:space="preserve">21 a 30 meses y con experiencia  especifica en monitoreo de calidad del aire de 12 meses </t>
  </si>
  <si>
    <t xml:space="preserve">Ingeniero ambiental: </t>
  </si>
  <si>
    <t xml:space="preserve"> experiencia en temas modelacion de aire de 7 - 12 meses </t>
  </si>
  <si>
    <t>Prestación de apoyo a la gestión de la Subdirección de Recursos Naturales  en marco del programa de Plan de Acción –“Responsabilidad Ecológica”, para apoyar el proyecto “REDES DE MONITOREO Y CALIDAD AMBIENTAL” dentro de la actividad “Realizar la operación de las estaciones de monitoreo y calidad ambiental”, de conformidad con las especificaciones técnicas que obran en los estudios previos.</t>
  </si>
  <si>
    <t>Prestar servicios profesionales, en marco del programa de Plan de Acción –“Responsabilidad Ecológica”, para apoyar el proyecto “REDES DE MONITOREO Y CALIDAD AMBIENTAL” dentro de la actividad “Realizar la operación de las estaciones de monitoreo y calidad ambiental”, de conformidad con las especificaciones técnicas que obran en los estudios previos.</t>
  </si>
  <si>
    <t xml:space="preserve">ingenieria quimica, quimico y/o afines con especializacion </t>
  </si>
  <si>
    <t xml:space="preserve"> experiencia en implementacion del sistema de calidad bajo la norma ISO/IEC 17025 de 21 a 30 meses y especifica en 12 meses</t>
  </si>
  <si>
    <t>Elio</t>
  </si>
  <si>
    <t xml:space="preserve">Milton </t>
  </si>
  <si>
    <t xml:space="preserve">Edwin </t>
  </si>
  <si>
    <t xml:space="preserve">William </t>
  </si>
  <si>
    <t>Oscar</t>
  </si>
  <si>
    <t>Andres</t>
  </si>
  <si>
    <t>Camilo</t>
  </si>
  <si>
    <t xml:space="preserve">Gerson </t>
  </si>
  <si>
    <t>David</t>
  </si>
  <si>
    <t>Diana</t>
  </si>
  <si>
    <t xml:space="preserve">ingenieria quimica, quimico, biologo y/o afines con especializacion y </t>
  </si>
  <si>
    <t xml:space="preserve">experiencia en laboratorios y ensayos fisicoquimicos 13 a 20 meses </t>
  </si>
  <si>
    <t xml:space="preserve">ingenieria quimica, quimico, biologo y/o afines </t>
  </si>
  <si>
    <t xml:space="preserve">con especializacion y experiencia en laboratorios y ensayos fisicoquimicos 13 a 20 meses </t>
  </si>
  <si>
    <t xml:space="preserve">Laura </t>
  </si>
  <si>
    <t xml:space="preserve">Alba </t>
  </si>
  <si>
    <t xml:space="preserve">Abogado, Ingeniero y/o Afines con experiencia contractual </t>
  </si>
  <si>
    <t xml:space="preserve">Prestar servicios profesionales, en marco del programa de Plan de Acción –“Responsabilidad Ecológica”, para apoyar el proyecto “REDES DE MONITOREO Y CALIDAD AMBIENTAL” </t>
  </si>
  <si>
    <t xml:space="preserve">Ingeniero civil y/o arquitecto: </t>
  </si>
  <si>
    <t xml:space="preserve">con experiencia en construcciones  de 21- 30 meses </t>
  </si>
  <si>
    <t xml:space="preserve"> experiencia en contratacion  de 7 - 12 meses </t>
  </si>
  <si>
    <t>Por definir</t>
  </si>
  <si>
    <t>Lorena</t>
  </si>
  <si>
    <t>Giohanna</t>
  </si>
  <si>
    <t>Prestación de servicios profesionales como apoyo a la gestión de la Subdirección de Recursos Naturales  en marco del programa de Plan de Acción –“Responsabilidad Ecológica”, para apoyar el proyecto “REDES DE MONITOREO Y CALIDAD AMBIENTAL” dentro de la actividad “Realizar la operación de las estaciones de monitoreo y calidad ambiental”, de conformidad con las especificaciones técnicas que obran en los estudios previos.</t>
  </si>
  <si>
    <t>Tecnico: en quimica, quimica industrial, agua potable y saneamiento basico</t>
  </si>
  <si>
    <t>con experiencia en ensayos fisicoquimicos  de 13 a 20 meses</t>
  </si>
  <si>
    <t>Paola Villamarin</t>
  </si>
  <si>
    <t>Mantenimiento y calibracion de equipos de laboratorio</t>
  </si>
  <si>
    <t xml:space="preserve">Mezclas de gases para calibracion de equipos de calidad del aire </t>
  </si>
  <si>
    <t>Repuestos para equipos de monitoreo de calidad del agua</t>
  </si>
  <si>
    <t xml:space="preserve">Repuestos para equipos de monitoreo de calidad del aire </t>
  </si>
  <si>
    <t>Suministro de reactivos, materiales y equipos para laboratorio</t>
  </si>
  <si>
    <t>Plataforma y datos de conexión de estaciones</t>
  </si>
  <si>
    <t>Monitoreo de cuencas priorizadas</t>
  </si>
  <si>
    <t xml:space="preserve">Mantenimiento Equipos de UPS </t>
  </si>
  <si>
    <t>Mantenimoento aire acondicionados</t>
  </si>
  <si>
    <t>Servicio de internet para estcaiones de calidad del aire (PLANES DE DATOS)</t>
  </si>
  <si>
    <t>Servicio de internet para estcaiones de calidad del aire (BANDA ANCHA)</t>
  </si>
  <si>
    <t>Gestión Integral de Residuos peligrosos generados en el laboratorio</t>
  </si>
  <si>
    <t>Inscripcion a ensayos de aptitud</t>
  </si>
  <si>
    <t xml:space="preserve">Construccion del laboratorio </t>
  </si>
  <si>
    <t xml:space="preserve">Global </t>
  </si>
  <si>
    <t>Mapas de Ruido</t>
  </si>
  <si>
    <t xml:space="preserve">Calibracion de equipos patron para el Matriz aire </t>
  </si>
  <si>
    <t xml:space="preserve">Auditoria Interna  17025 </t>
  </si>
  <si>
    <t xml:space="preserve">Auditoria Externa  17025 </t>
  </si>
  <si>
    <t>fiducia</t>
  </si>
  <si>
    <t>REACTIVOS+VIGENCIAS</t>
  </si>
  <si>
    <t xml:space="preserve">SERVICIOS QUE SE DEBEN CONTRATAR DESDE INICIO DE AÑO </t>
  </si>
  <si>
    <t xml:space="preserve">MONITOREOS + VIGENCIAS </t>
  </si>
  <si>
    <t>TECHO PRESUPUESTAL</t>
  </si>
  <si>
    <t xml:space="preserve">PERSONAL (QUITANDO DOS PERSONAS) </t>
  </si>
  <si>
    <t xml:space="preserve">DIFERENCIA </t>
  </si>
  <si>
    <t>101010002</t>
  </si>
  <si>
    <t>Banderitas adhesivas semitransparente de 5 colores x 25 unidades c/u</t>
  </si>
  <si>
    <t>Unidad</t>
  </si>
  <si>
    <t>101010003</t>
  </si>
  <si>
    <t>Bayetilla de algodon, con unidad de comercializacion color blanco por m2.</t>
  </si>
  <si>
    <t>metro</t>
  </si>
  <si>
    <t>101010043</t>
  </si>
  <si>
    <t>Bandas de caucho</t>
  </si>
  <si>
    <t>Caja</t>
  </si>
  <si>
    <t>101010013</t>
  </si>
  <si>
    <t>Bisturi elaborado en metal, tamaño de la cuchilla de 18 mm, con bloqueo de la cuchilla y con corta cuchilla</t>
  </si>
  <si>
    <t>101010014</t>
  </si>
  <si>
    <t>Boligrafo Mina Negra</t>
  </si>
  <si>
    <t>101010001</t>
  </si>
  <si>
    <t>Borrador para lapiz, tipo nata, tamaño mediano, por 1 und.</t>
  </si>
  <si>
    <t>101010065</t>
  </si>
  <si>
    <t>CARPETA EN YUTE PLASTIFICADA TAMAÑO OFICIO COLOR NATURAL 500 GRAMOS</t>
  </si>
  <si>
    <t>101010076</t>
  </si>
  <si>
    <t>Carpeta tamaño oficio en cartón Yute (900 gramos) plastificada caras exteriores con fuelle de tela y refuerzo interno en Kraff con 4 cm  de expansión que cuente con tres pliegues o grafas en la cara principal, aleta de identificación vertical totalmente fondeada en color naatural. Para almacenar máximo 250 folios</t>
  </si>
  <si>
    <t>101010129</t>
  </si>
  <si>
    <t xml:space="preserve">CINTA ADHESIVA INVISIBLE   </t>
  </si>
  <si>
    <t>Rollo</t>
  </si>
  <si>
    <t>101010046</t>
  </si>
  <si>
    <t>Cinta aislante</t>
  </si>
  <si>
    <t>101010082</t>
  </si>
  <si>
    <t>Cinta para empaque transparente  12MM X 40MM</t>
  </si>
  <si>
    <t>101010074</t>
  </si>
  <si>
    <t xml:space="preserve">Cinta de enmascarar, multipropositos, dimensiones (24mmx40m), nacional </t>
  </si>
  <si>
    <t>101010007</t>
  </si>
  <si>
    <t xml:space="preserve">Cinta de enmascarar, multipropositos, dimensiones (48mmx40m), nacional </t>
  </si>
  <si>
    <t>101010025</t>
  </si>
  <si>
    <t>CINTA PARA EMPAQUE DE 30 MICRAS- TRANSPARENTE- DIMENSIONES 48 MM X 40 M</t>
  </si>
  <si>
    <t>101010012</t>
  </si>
  <si>
    <t>Cinta para empaque de 30 micras, transparente, dimensiones (72mmx50m), acrilico, no impresa, importado</t>
  </si>
  <si>
    <t>101010009</t>
  </si>
  <si>
    <t>Cinta para sellar-cinta adhesiva con respaldo en acetato y adhesivo sintético, invisibledimensiones de 12 mmx40 m</t>
  </si>
  <si>
    <t>101010114</t>
  </si>
  <si>
    <t>CUADERNO ARGOLLADO 80 HOJAS 1 MATERIA</t>
  </si>
  <si>
    <t>101010102</t>
  </si>
  <si>
    <t>CDS BLANCO NO REUTILIZABLE</t>
  </si>
  <si>
    <t>unidad</t>
  </si>
  <si>
    <t>101010081</t>
  </si>
  <si>
    <t>Gancho Legajador totalmente plástico para grandes expedientes con cierre corredizo con dos filamentos de 16.5 cm cada uno paquete por 100</t>
  </si>
  <si>
    <t>Paquete</t>
  </si>
  <si>
    <t>101010017</t>
  </si>
  <si>
    <t>Gancho tipo clip estandar, en alambre plastico, de 50 mm (2 in), por 50 und.</t>
  </si>
  <si>
    <t>101010019</t>
  </si>
  <si>
    <t>Gancho para cosedora.</t>
  </si>
  <si>
    <t xml:space="preserve">caja </t>
  </si>
  <si>
    <t>101010018</t>
  </si>
  <si>
    <t>Ganchos Mariposa</t>
  </si>
  <si>
    <t>101010073</t>
  </si>
  <si>
    <t xml:space="preserve">Regla de 30 centímetros </t>
  </si>
  <si>
    <t>101010072</t>
  </si>
  <si>
    <t xml:space="preserve">Regla de 50 centímetros </t>
  </si>
  <si>
    <t>101010028</t>
  </si>
  <si>
    <t>Marcador para tablero acrílico</t>
  </si>
  <si>
    <t>101010061</t>
  </si>
  <si>
    <t>Marcador para CDS</t>
  </si>
  <si>
    <t>101010027</t>
  </si>
  <si>
    <t>MARCADOR PERMANENTE DE VARIOS COLORES CON PUNTA BISELADA</t>
  </si>
  <si>
    <t>101010089</t>
  </si>
  <si>
    <t>Papel bond, de 75 g/m2, tamaño carta, por resma de 500 hojas.</t>
  </si>
  <si>
    <t>101010090</t>
  </si>
  <si>
    <t>Papel bond, de 75 g/m2, tamaño oficio, por resma de 500 hojas.</t>
  </si>
  <si>
    <t>101010030</t>
  </si>
  <si>
    <t>Pegante en barra en presentacion de 40 g sin glicerina</t>
  </si>
  <si>
    <t>101010010</t>
  </si>
  <si>
    <t>Pegante liquido en presentacion de 115 g sin glicerina.</t>
  </si>
  <si>
    <t>101010033</t>
  </si>
  <si>
    <t>Pos it mediano</t>
  </si>
  <si>
    <t>101010032</t>
  </si>
  <si>
    <t>Pos it pequeño</t>
  </si>
  <si>
    <t>101010053</t>
  </si>
  <si>
    <t>Portaminas de 0.7 mm, sin afilaminas .</t>
  </si>
  <si>
    <t>101010062</t>
  </si>
  <si>
    <t>Repuesto para Bisturi</t>
  </si>
  <si>
    <t>101010054</t>
  </si>
  <si>
    <t>Repuestos para portaminas 0.7</t>
  </si>
  <si>
    <t>101010034</t>
  </si>
  <si>
    <t>Resaltador -varios colores punta biselada</t>
  </si>
  <si>
    <t>101010063</t>
  </si>
  <si>
    <t>Rotulos Autoadhesivos Ref: 1004 tamaño 110x80 mm x 30 unidades blanco</t>
  </si>
  <si>
    <t>101010036</t>
  </si>
  <si>
    <t>Saca ganchos</t>
  </si>
  <si>
    <t>101010118</t>
  </si>
  <si>
    <t>Sobre- Manila tamaño carta con logo</t>
  </si>
  <si>
    <t>101010055</t>
  </si>
  <si>
    <t>Tijeras medianas</t>
  </si>
  <si>
    <t>101010104</t>
  </si>
  <si>
    <t>DVD - R DE 4.7 GB 8X EN BLANCO</t>
  </si>
  <si>
    <t>CAJA PARA ARCHIVO SEMI ACTIVO REF X 200 LOGO A UNA TINTA</t>
  </si>
  <si>
    <t>101010037</t>
  </si>
  <si>
    <t>FUNDA PARA CD</t>
  </si>
  <si>
    <t>261010001</t>
  </si>
  <si>
    <t>COMPUTADOR PORTÁTIL</t>
  </si>
  <si>
    <t xml:space="preserve">Elaboracion de un mapa de ruido </t>
  </si>
  <si>
    <t xml:space="preserve">Tunja </t>
  </si>
  <si>
    <t xml:space="preserve">(No. de procesos de contratacion adelantados  /No. De procesos de contratacion programados)*100 </t>
  </si>
  <si>
    <t xml:space="preserve"> experiencia en contratacion  de 21 - 30 meses </t>
  </si>
  <si>
    <t>EXP PROFESIONAL</t>
  </si>
  <si>
    <t xml:space="preserve">EXP ESPECIFICA </t>
  </si>
  <si>
    <t xml:space="preserve">NOMBRE </t>
  </si>
  <si>
    <t>N/A</t>
  </si>
  <si>
    <t xml:space="preserve">ELIO CUEVAS </t>
  </si>
  <si>
    <t>MILTON GUZMAN</t>
  </si>
  <si>
    <t xml:space="preserve">EDWIN BERNAL </t>
  </si>
  <si>
    <t>OSCAR ARREDONDO</t>
  </si>
  <si>
    <t xml:space="preserve">ANDRES FELIPE DAZA </t>
  </si>
  <si>
    <t>CAMILO CORREA</t>
  </si>
  <si>
    <t xml:space="preserve">GERSON CARVAJAL </t>
  </si>
  <si>
    <t xml:space="preserve">DAVID SALCEDO </t>
  </si>
  <si>
    <t xml:space="preserve">DIANA GARCIA </t>
  </si>
  <si>
    <t>ALBA ROCIO</t>
  </si>
  <si>
    <t>LORENA VIASUS</t>
  </si>
  <si>
    <t>GIOHANNA JIMENEZ</t>
  </si>
  <si>
    <t xml:space="preserve">PAOLA VILLAMARIN </t>
  </si>
  <si>
    <t xml:space="preserve">WILLIAN ALZA </t>
  </si>
  <si>
    <t>31-36</t>
  </si>
  <si>
    <t>21-30</t>
  </si>
  <si>
    <t>7-12</t>
  </si>
  <si>
    <t>LAURA ORTEGA + DESPLAZAMIENTO</t>
  </si>
  <si>
    <t>13-20</t>
  </si>
  <si>
    <t>ingenieria quimica, quimico, biologo y/o afines con especializacion (AQUITANIA)</t>
  </si>
  <si>
    <t>experiencia mayor a 36 meses</t>
  </si>
  <si>
    <t xml:space="preserve"> Experiencia en temas modelacion de aire de 7 - 12 meses </t>
  </si>
  <si>
    <t xml:space="preserve">Experiencia en laboratorios y ensayos fisicoquimicos 7 a 12 meses </t>
  </si>
  <si>
    <t>ingenieria quimica, quimico, biologo y/o afines y con especializacion</t>
  </si>
  <si>
    <t xml:space="preserve">con experiencia en construcciones  de 7- 12 meses </t>
  </si>
  <si>
    <t>Area del conocimiento en Matemáticas y ciencias naturales y Nucleo Basico del conocimiento en Química y afines</t>
  </si>
  <si>
    <t>Area del conocimeinto en Matemáticas y ciencias naturales y Nucleo Basico del conocimiento en Biología, microbiología y afines.</t>
  </si>
  <si>
    <t>Area del conocimiento en Ingeniería, arquitectura, urbanismo y afines y Nucleo Basico del conocimientoIngeniería eléctrica y afines</t>
  </si>
  <si>
    <t>Area del conocimeinto en Ingeniería, arquitectura, urbanismo y afines y Nucleo Basico del conocimiento en Ingeniería electrónica, telecomunicaciones y afines.</t>
  </si>
  <si>
    <t>Area del conocimiento en Ingeniería, arquitectura, urbanismo y afines y Nucleo Basico del conocimiento en Ingeniería de sistemas, telemática y afines.</t>
  </si>
  <si>
    <t>Area del conocimiento en Ingeniería, arquitectura, urbanismo y afines y Nucleo Basico del conocimiento en Ingeniería electrónica, telecomunicaciones y afines.</t>
  </si>
  <si>
    <t>Area del conocimiento en Ingeniería, arquitectura, urbanismo y afines y Nucleo Basico del conocimiento en Ingeniería ambiental, sanitaria y afines</t>
  </si>
  <si>
    <t xml:space="preserve">Area del conocimiento en Ingeniería, arquitectura, urbanismo y afines y Nucleo Basico del conocimiento en Ingeniería química y afines. Area del conocimiento en Matemáticas y ciencias naturales y Nucleo basico del conocimiento en Química y afines </t>
  </si>
  <si>
    <t>Area del conocimiento en Ingeniería, arquitectura, urbanismo y afines y Nucleo Basico del conocimiento en Ingeniería química y afines. Area del conocimiento en Matemáticas y ciencias naturales y Nucleo basico del conocimiento en Química y afines o Biología, microbiología y afines.</t>
  </si>
  <si>
    <t>Area del conocimiento en Ciencias Sociales y Nucleo Basico del Conocimiento en Derecho y Afines</t>
  </si>
  <si>
    <t>Area del conocimiento en Ingeniería, arquitectura, urbanismo y afines y Nucleo Basico del conocimiento en Ingeniería civil y afines o Arquitectura</t>
  </si>
  <si>
    <t>Area del conocimiento en Matemáticas y ciencias naturales y Nucleo Basico del conocimiento en Química y afines.</t>
  </si>
  <si>
    <t xml:space="preserve">experiencia de 21 a 30 meses y 12 meses de experiencia  especifica en monitoreo de calidad del aire  </t>
  </si>
  <si>
    <t xml:space="preserve">experiencia de 21 a 30 meses y 12 meses de experiencia  especifica en manejo de equipos de monitoreo de calidad del aire  </t>
  </si>
  <si>
    <t xml:space="preserve">experiencia de 31 a 36 meses y 15 meses de experiencia  especifica en manejo de equipos de monitoreo de calidad del aire  </t>
  </si>
  <si>
    <t xml:space="preserve">experiencia de 31 a 36 meses y 15 meses de experiencia especifica laboratorios y/o monitoreo de calidad del agua </t>
  </si>
  <si>
    <t>experiencia en manejo de estaciones de calidad del agua  de 36 meses y 18 especifica</t>
  </si>
  <si>
    <t xml:space="preserve">experiencia en manejo de estaciones de calidad del agua de 36 meses y 18 especifica </t>
  </si>
  <si>
    <t xml:space="preserve">Personal Calidad del agua </t>
  </si>
  <si>
    <t xml:space="preserve">Personal Calidad del aire </t>
  </si>
  <si>
    <t>Personal laboratorio</t>
  </si>
  <si>
    <t>Personal contruccion del laboratorio</t>
  </si>
  <si>
    <t>Instrumentos y aparatos de medición, verificación, análisis, de navegación y para otros fines (excepto instrumentos ópticos); instrumentos de control de procesos industriales, sus partes, piezas y accesorios</t>
  </si>
  <si>
    <t xml:space="preserve">Servicios prestados a las empresas y servicios de producción </t>
  </si>
  <si>
    <t>Servicios para la comunidad, sociales y personales</t>
  </si>
  <si>
    <t>Otros bienes transportables (excepto productos metálicos, maquinaria y equipo)</t>
  </si>
  <si>
    <t xml:space="preserve">FUENTES CONTRALORIA </t>
  </si>
  <si>
    <t>Tasa Retributiva por  Vertimientos  - Vigencia 2021 - Vigencia 2021</t>
  </si>
  <si>
    <t>Formulacion POA, según Acuerdo 012 del 18 de diciembre 2020, presupuesto Año 2021</t>
  </si>
  <si>
    <t>22320399105 (1201030102) (12010101) (1201030101)</t>
  </si>
  <si>
    <t>HEILER MARTIN RICAURTE AVELLA</t>
  </si>
  <si>
    <t>Area del conocimiento en Ingeniería, arquitectura, urbanismo y afines y Nucleo Basico del conocimiento en Ingeniería química y afines. Area del conocimiento en Matemáticas y ciencias naturales y Nucleo basico del conocimiento en Química y afines o Biología, microbiología y afines, Ingenieria eletronica, mecanica y afines.</t>
  </si>
  <si>
    <t xml:space="preserve">experiencia en laboratorios y evaluación metrologica 13 a 20 meses </t>
  </si>
  <si>
    <t>Realizar adquisicion, mantenimiento y/o calibración de equipos</t>
  </si>
  <si>
    <t>(No. De equipos mantenidos y/o calibrados/No. Total de equipos  existentes)*100</t>
  </si>
  <si>
    <t>100% equipos programados con mantenimiento y/o calibración</t>
  </si>
  <si>
    <t>Realizar formulación de proyecto para gestión de recursos financieros que garanticen la construcción del laboratorio de calidad ambiental - Sede Central</t>
  </si>
  <si>
    <t>Generar proyecto para la gestión de recurso financieros para la construcción del laboratorio de calidad ambiental - Sede Central</t>
  </si>
  <si>
    <t>100%  de la formulación de proyecto de laboratorio de calidad ambiental - sede central con proceso de contratación</t>
  </si>
  <si>
    <t>(% de avance del proyecto formulado  /% de avance formulado )</t>
  </si>
  <si>
    <t>Dar operatividad al laboratorio de calidad ambiental - Sede Central</t>
  </si>
  <si>
    <t xml:space="preserve">Adición de Presupuesto mediante acuerdo 005 del 28 de abril de 2021, por incorporación de excedentes financieros del 2020. </t>
  </si>
  <si>
    <t>LUIS HERNANDEZ</t>
  </si>
  <si>
    <t>EDWIN BERNAL</t>
  </si>
  <si>
    <t>WILLIAM ALZA</t>
  </si>
  <si>
    <t>ANDRES DAZA</t>
  </si>
  <si>
    <t>EDISSON AYALA</t>
  </si>
  <si>
    <t>DAVID SALCEDO</t>
  </si>
  <si>
    <t>LILIANA SILVA</t>
  </si>
  <si>
    <t>ALBA AGUILAR</t>
  </si>
  <si>
    <t>PAULA PEREZ</t>
  </si>
  <si>
    <t>JHON JAIRO CAMACHO</t>
  </si>
  <si>
    <t>METROLOGO</t>
  </si>
  <si>
    <t>PAOLA VILLAMARIN</t>
  </si>
  <si>
    <t>QUIMICO AQUITANIA</t>
  </si>
  <si>
    <t>TECNICO TUNJA</t>
  </si>
  <si>
    <t>Mantenimiento, calibracion y adquisición de equipos de laboratorio</t>
  </si>
  <si>
    <t>Suministro de reactivos y materiales  para laboratorio</t>
  </si>
  <si>
    <t xml:space="preserve">Mantenimiento fisico estaciones calidad de agua </t>
  </si>
  <si>
    <t xml:space="preserve">Rodrigo Ayala </t>
  </si>
  <si>
    <t xml:space="preserve">Ajustes de Presupuesto según Resolucion No. 590 del 18 de junio de 2021 </t>
  </si>
  <si>
    <t>20104 EVALUACIÓN Y SEGUIMIENTO LICENCIAS , SALVOCONDUCTOS - EXCEDENTES</t>
  </si>
  <si>
    <t>30101 
SOBRETASA Y/O PORCENTAJE  AMBIENTAL  -  VIG-2021</t>
  </si>
  <si>
    <t>30104
SOBRETASA Y/O PORCENTAJE  AMBIENTAL  - EXCEDENTES</t>
  </si>
  <si>
    <t>51101 
GENSA-  VIG-2021</t>
  </si>
  <si>
    <t>51201 
ELECTRO SOCHAGOTA-  VIG-2021</t>
  </si>
  <si>
    <t>51301 
OCENSA-  VIG-2021</t>
  </si>
  <si>
    <t>51401 
ARGOS-  VIG-2021</t>
  </si>
  <si>
    <t>52101 
HIDROSOGAMOSO-  VIG-2021</t>
  </si>
  <si>
    <t>52201 
CHIVOR-  VIG-2021</t>
  </si>
  <si>
    <t>10101 
TASA USO AGUA  -  VIG-2021</t>
  </si>
  <si>
    <t>10102 
TASA USO AGUA  - RECUP. CARTERA</t>
  </si>
  <si>
    <t>10104 
TASA USO AGUA  - EXCEDENTES</t>
  </si>
  <si>
    <t>10301  
TASA 
COMPENSATORIA CAZA FAUNA SILVESTRE -  VIG-2021</t>
  </si>
  <si>
    <t>10401  
TASA APROVECHAMIENTO FORESTAL -  VIG-2021</t>
  </si>
  <si>
    <t>20101  
EVALUACIÓN Y SEGUIMIENTO LICENCIAS , SALVOCONDUCTOS - VIG-2021</t>
  </si>
  <si>
    <t>20201 
DERECHOS EXPLOTACION RECURSOS (PLAYA BLANCA)-  VIG-2021</t>
  </si>
  <si>
    <t>20301 
MULTAS, SANCIONES Y OTROS (REINTEGROS, DEVOLUCIONES Y DIVERSOS) - VIG-2021</t>
  </si>
  <si>
    <t>20302 
MULTAS, SANCIONES Y OTROS (REINTEGROS, DEVOLUCIONES Y DIVERSOS) - RECUP. CARTERA</t>
  </si>
  <si>
    <t>20304 
MULTAS, SANCIONES Y OTROS (REINTEGROS, DEVOLUCIONES Y DIVERSOS) - EXCEDENTES</t>
  </si>
  <si>
    <t>51104 
GENSA-  EXCEDENTES</t>
  </si>
  <si>
    <t>51204 
ELECTRO SOCHAGOTA-  EXCEDENTES</t>
  </si>
  <si>
    <t>51304 
OCENSA-  EXCEDENTES</t>
  </si>
  <si>
    <t>51404 
ARGOS-  EXCEDENTES</t>
  </si>
  <si>
    <t>52204 
CHIVOR-  EXCEDENTES</t>
  </si>
  <si>
    <t>30103 
SOBRETASA Y/O PORCENTAJE  AMBIENTAL  -  RENDIMIENTOS FINANCIEROS</t>
  </si>
  <si>
    <t>30102 
SOBRETASA Y/O PORCENTAJE  AMBIENTAL  -  RECUP. CARTERA</t>
  </si>
  <si>
    <t>20204 
DERECHOS EXPLOTACION RECURSOS (PLAYA BLANCA) - EXCEDENTES</t>
  </si>
  <si>
    <t>40403 
CONVENIO FONAM</t>
  </si>
  <si>
    <t>40401 
APORTES CAR CONV 2645- PORH</t>
  </si>
  <si>
    <t>40402 
APORTES CNV GOBERNACIÓN BOYACÁ 3615-</t>
  </si>
  <si>
    <t>10304 
TASA COMPENSATORIA CAZA FAUNA SILVESTRE -  EXCEDENTES</t>
  </si>
  <si>
    <t>53104 
OCENSA -EXCEDENTES</t>
  </si>
  <si>
    <t>53204 
ARGOS - EXCEDENTES</t>
  </si>
  <si>
    <t>10201  
TASA RETRIBUTIVA VERTIMIENTOS  -  VIG-2021</t>
  </si>
  <si>
    <t>10202 
TASA RETRIBUTIVA VERTIMIENTOS  - RECUP. CARTERA</t>
  </si>
  <si>
    <t>10204 
TASA RETRIBUTIVA VERTIMIENTOS  - EXCEDENTES</t>
  </si>
  <si>
    <t>20102 
EVALUACIÓN Y SEGUIMIENTO LICENCIAS , SALVOCONDUCTOS - RECUP. CARTERA</t>
  </si>
  <si>
    <t>52104 
HIDROSOGAMOSO-  EXCEDENTES</t>
  </si>
  <si>
    <t>Sobretasa Y/O Porcentaje  Ambiental Al Impuesto Predial   - EXCEDENTES</t>
  </si>
  <si>
    <t>Termoeléctrico- GENSA  - EXCEDENTES</t>
  </si>
  <si>
    <t>Termoeléctrico- Electro Sochagota  - EXCEDENTES</t>
  </si>
  <si>
    <t>Prevención, Seguimiento, y control del deterioro y daño ambiental</t>
  </si>
  <si>
    <t>Responsabilidad Ecológica</t>
  </si>
  <si>
    <t xml:space="preserve">2 Procesos de contratacion para la elaboracion del mapa de ruido para el municipio de Tunja </t>
  </si>
  <si>
    <t xml:space="preserve">Ajustes de Presupuesto según Resolucion No. 1327 del 12 de agosto de 2021 </t>
  </si>
  <si>
    <t xml:space="preserve">Ajustes solicitados el 22 de septiembre de 2021 </t>
  </si>
</sst>
</file>

<file path=xl/styles.xml><?xml version="1.0" encoding="utf-8"?>
<styleSheet xmlns="http://schemas.openxmlformats.org/spreadsheetml/2006/main">
  <numFmts count="5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&quot;$&quot;\ * #,##0_ ;_ &quot;$&quot;\ * \-#,##0_ ;_ &quot;$&quot;\ * &quot;-&quot;_ ;_ @_ "/>
    <numFmt numFmtId="187" formatCode="_ * #,##0.00_ ;_ * \-#,##0.00_ ;_ * &quot;-&quot;??_ ;_ @_ "/>
    <numFmt numFmtId="188" formatCode="_-* #,##0\ _€_-;\-* #,##0\ _€_-;_-* &quot;-&quot;??\ _€_-;_-@_-"/>
    <numFmt numFmtId="189" formatCode="_(* #,##0_);_(* \(#,##0\);_(* &quot;-&quot;??_);_(@_)"/>
    <numFmt numFmtId="190" formatCode="_ [$$-2C0A]\ * #,##0_ ;_ [$$-2C0A]\ * \-#,##0_ ;_ [$$-2C0A]\ * &quot;-&quot;_ ;_ @_ "/>
    <numFmt numFmtId="191" formatCode="_-[$$-340A]\ * #,##0_-;\-[$$-340A]\ * #,##0_-;_-[$$-340A]\ * &quot;-&quot;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(&quot;$&quot;\ * #,##0_);_(&quot;$&quot;\ * \(#,##0\);_(&quot;$&quot;\ * &quot;-&quot;??_);_(@_)"/>
    <numFmt numFmtId="197" formatCode="_([$$-240A]\ * #,##0_);_([$$-240A]\ * \(#,##0\);_([$$-240A]\ * &quot;-&quot;??_);_(@_)"/>
    <numFmt numFmtId="198" formatCode="_-&quot;$&quot;* #,##0_-;\-&quot;$&quot;* #,##0_-;_-&quot;$&quot;* &quot;-&quot;??_-;_-@_-"/>
    <numFmt numFmtId="199" formatCode="[$-240A]dddd\,\ d\ &quot;de&quot;\ mmmm\ &quot;de&quot;\ yyyy"/>
    <numFmt numFmtId="200" formatCode="[$-240A]h:mm:ss\ AM/PM"/>
    <numFmt numFmtId="201" formatCode="_(&quot;$&quot;\ * #,##0.0_);_(&quot;$&quot;\ * \(#,##0.0\);_(&quot;$&quot;\ * &quot;-&quot;??_);_(@_)"/>
    <numFmt numFmtId="202" formatCode="&quot;$&quot;\ #,##0.00"/>
    <numFmt numFmtId="203" formatCode="&quot;$&quot;\ #,##0.0"/>
    <numFmt numFmtId="204" formatCode="&quot;$&quot;\ #,##0"/>
    <numFmt numFmtId="205" formatCode="_(* #,##0.0_);_(* \(#,##0.0\);_(* &quot;-&quot;??_);_(@_)"/>
    <numFmt numFmtId="206" formatCode="0.0"/>
    <numFmt numFmtId="207" formatCode="_(* #,##0.000_);_(* \(#,##0.000\);_(* &quot;-&quot;??_);_(@_)"/>
    <numFmt numFmtId="208" formatCode="_-* #,##0.000_-;\-* #,##0.000_-;_-* &quot;-&quot;???_-;_-@_-"/>
    <numFmt numFmtId="209" formatCode="0.0%"/>
    <numFmt numFmtId="210" formatCode="_-* #,##0_-;\-* #,##0_-;_-* &quot;-&quot;??_-;_-@_-"/>
    <numFmt numFmtId="211" formatCode="[$-F400]h:mm:ss\ AM/PM"/>
    <numFmt numFmtId="212" formatCode="[$$-240A]\ #,##0"/>
    <numFmt numFmtId="213" formatCode="[$-240A]dddd\,\ dd&quot; de &quot;mmmm&quot; de &quot;yyyy"/>
    <numFmt numFmtId="214" formatCode="_(&quot;$&quot;\ * #,##0.000_);_(&quot;$&quot;\ * \(#,##0.000\);_(&quot;$&quot;\ * &quot;-&quot;??_);_(@_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8"/>
      <name val="Arial Narrow"/>
      <family val="2"/>
    </font>
    <font>
      <sz val="10"/>
      <color indexed="40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sz val="12"/>
      <color indexed="9"/>
      <name val="Arial"/>
      <family val="2"/>
    </font>
    <font>
      <sz val="9"/>
      <color indexed="63"/>
      <name val="Verdana"/>
      <family val="2"/>
    </font>
    <font>
      <b/>
      <sz val="8"/>
      <color indexed="63"/>
      <name val="Arial"/>
      <family val="2"/>
    </font>
    <font>
      <sz val="8"/>
      <name val="Segoe U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3" tint="0.39998000860214233"/>
      <name val="Arial"/>
      <family val="2"/>
    </font>
    <font>
      <sz val="10"/>
      <color theme="1"/>
      <name val="Arial Narrow"/>
      <family val="2"/>
    </font>
    <font>
      <sz val="10"/>
      <color rgb="FF00B0F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6"/>
      <color theme="0"/>
      <name val="Arial"/>
      <family val="2"/>
    </font>
    <font>
      <sz val="12"/>
      <color theme="0"/>
      <name val="Arial"/>
      <family val="2"/>
    </font>
    <font>
      <sz val="9"/>
      <color rgb="FF222222"/>
      <name val="Verdana"/>
      <family val="2"/>
    </font>
    <font>
      <b/>
      <sz val="8"/>
      <color rgb="FF202124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 style="thin"/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1" fontId="32" fillId="23" borderId="0" applyFill="0">
      <alignment horizontal="center" vertical="center"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7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22" fillId="0" borderId="0" xfId="51" applyNumberFormat="1" applyFont="1" applyFill="1" applyBorder="1" applyAlignment="1">
      <alignment horizontal="left" vertical="center"/>
    </xf>
    <xf numFmtId="189" fontId="0" fillId="0" borderId="0" xfId="54" applyNumberFormat="1" applyFont="1" applyAlignment="1">
      <alignment horizontal="center" vertical="center"/>
    </xf>
    <xf numFmtId="189" fontId="0" fillId="0" borderId="0" xfId="54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188" fontId="0" fillId="0" borderId="0" xfId="53" applyNumberFormat="1" applyAlignment="1">
      <alignment vertical="center"/>
    </xf>
    <xf numFmtId="188" fontId="0" fillId="0" borderId="0" xfId="53" applyNumberFormat="1" applyFont="1" applyAlignment="1">
      <alignment vertical="center"/>
    </xf>
    <xf numFmtId="0" fontId="27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188" fontId="22" fillId="0" borderId="0" xfId="52" applyNumberFormat="1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188" fontId="27" fillId="0" borderId="10" xfId="52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88" fontId="27" fillId="0" borderId="10" xfId="52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188" fontId="22" fillId="0" borderId="0" xfId="52" applyNumberFormat="1" applyFont="1" applyFill="1" applyBorder="1" applyAlignment="1">
      <alignment horizontal="right" vertical="center"/>
    </xf>
    <xf numFmtId="3" fontId="27" fillId="0" borderId="0" xfId="0" applyNumberFormat="1" applyFont="1" applyFill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9" fontId="20" fillId="0" borderId="0" xfId="55" applyNumberFormat="1" applyFont="1" applyFill="1" applyBorder="1" applyAlignment="1">
      <alignment horizontal="center" vertical="center" wrapText="1"/>
    </xf>
    <xf numFmtId="49" fontId="19" fillId="0" borderId="0" xfId="54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23" borderId="12" xfId="0" applyFont="1" applyFill="1" applyBorder="1" applyAlignment="1">
      <alignment vertical="center"/>
    </xf>
    <xf numFmtId="0" fontId="55" fillId="23" borderId="13" xfId="0" applyFont="1" applyFill="1" applyBorder="1" applyAlignment="1">
      <alignment vertical="center"/>
    </xf>
    <xf numFmtId="0" fontId="21" fillId="23" borderId="0" xfId="0" applyFont="1" applyFill="1" applyBorder="1" applyAlignment="1">
      <alignment horizontal="center" vertical="center" wrapText="1"/>
    </xf>
    <xf numFmtId="0" fontId="26" fillId="23" borderId="0" xfId="0" applyFont="1" applyFill="1" applyBorder="1" applyAlignment="1">
      <alignment horizontal="center" vertical="center" wrapText="1"/>
    </xf>
    <xf numFmtId="0" fontId="0" fillId="23" borderId="10" xfId="0" applyFill="1" applyBorder="1" applyAlignment="1">
      <alignment vertical="center"/>
    </xf>
    <xf numFmtId="189" fontId="20" fillId="23" borderId="10" xfId="54" applyNumberFormat="1" applyFont="1" applyFill="1" applyBorder="1" applyAlignment="1">
      <alignment horizontal="center" vertical="center" wrapText="1"/>
    </xf>
    <xf numFmtId="0" fontId="0" fillId="23" borderId="10" xfId="0" applyFill="1" applyBorder="1" applyAlignment="1">
      <alignment horizontal="center" vertical="center"/>
    </xf>
    <xf numFmtId="189" fontId="0" fillId="23" borderId="10" xfId="54" applyNumberFormat="1" applyFont="1" applyFill="1" applyBorder="1" applyAlignment="1">
      <alignment vertical="center"/>
    </xf>
    <xf numFmtId="0" fontId="19" fillId="23" borderId="0" xfId="0" applyFont="1" applyFill="1" applyBorder="1" applyAlignment="1">
      <alignment vertical="center"/>
    </xf>
    <xf numFmtId="0" fontId="19" fillId="23" borderId="12" xfId="0" applyFont="1" applyFill="1" applyBorder="1" applyAlignment="1">
      <alignment vertical="center"/>
    </xf>
    <xf numFmtId="0" fontId="19" fillId="23" borderId="13" xfId="0" applyFont="1" applyFill="1" applyBorder="1" applyAlignment="1">
      <alignment vertical="center"/>
    </xf>
    <xf numFmtId="0" fontId="26" fillId="23" borderId="10" xfId="0" applyFont="1" applyFill="1" applyBorder="1" applyAlignment="1">
      <alignment horizontal="center" vertical="center" wrapText="1"/>
    </xf>
    <xf numFmtId="0" fontId="26" fillId="23" borderId="14" xfId="0" applyFont="1" applyFill="1" applyBorder="1" applyAlignment="1">
      <alignment horizontal="center" vertical="center" wrapText="1"/>
    </xf>
    <xf numFmtId="189" fontId="0" fillId="23" borderId="10" xfId="54" applyNumberFormat="1" applyFont="1" applyFill="1" applyBorder="1" applyAlignment="1">
      <alignment horizontal="center" vertical="center"/>
    </xf>
    <xf numFmtId="0" fontId="19" fillId="23" borderId="10" xfId="0" applyFont="1" applyFill="1" applyBorder="1" applyAlignment="1">
      <alignment vertical="center"/>
    </xf>
    <xf numFmtId="0" fontId="19" fillId="23" borderId="14" xfId="0" applyFont="1" applyFill="1" applyBorder="1" applyAlignment="1">
      <alignment vertical="center"/>
    </xf>
    <xf numFmtId="189" fontId="20" fillId="23" borderId="15" xfId="54" applyNumberFormat="1" applyFont="1" applyFill="1" applyBorder="1" applyAlignment="1">
      <alignment vertical="center"/>
    </xf>
    <xf numFmtId="0" fontId="19" fillId="23" borderId="16" xfId="0" applyFont="1" applyFill="1" applyBorder="1" applyAlignment="1">
      <alignment vertical="center"/>
    </xf>
    <xf numFmtId="0" fontId="19" fillId="23" borderId="17" xfId="0" applyFont="1" applyFill="1" applyBorder="1" applyAlignment="1">
      <alignment vertical="center"/>
    </xf>
    <xf numFmtId="0" fontId="19" fillId="23" borderId="18" xfId="0" applyFont="1" applyFill="1" applyBorder="1" applyAlignment="1">
      <alignment vertical="center"/>
    </xf>
    <xf numFmtId="0" fontId="19" fillId="23" borderId="19" xfId="0" applyFont="1" applyFill="1" applyBorder="1" applyAlignment="1">
      <alignment vertical="center"/>
    </xf>
    <xf numFmtId="0" fontId="19" fillId="23" borderId="20" xfId="0" applyFont="1" applyFill="1" applyBorder="1" applyAlignment="1">
      <alignment vertical="center"/>
    </xf>
    <xf numFmtId="0" fontId="19" fillId="23" borderId="15" xfId="0" applyFont="1" applyFill="1" applyBorder="1" applyAlignment="1">
      <alignment vertical="center"/>
    </xf>
    <xf numFmtId="0" fontId="19" fillId="23" borderId="21" xfId="0" applyFont="1" applyFill="1" applyBorder="1" applyAlignment="1">
      <alignment vertical="center"/>
    </xf>
    <xf numFmtId="0" fontId="20" fillId="23" borderId="22" xfId="0" applyFont="1" applyFill="1" applyBorder="1" applyAlignment="1">
      <alignment vertical="center"/>
    </xf>
    <xf numFmtId="0" fontId="0" fillId="23" borderId="11" xfId="0" applyFill="1" applyBorder="1" applyAlignment="1">
      <alignment vertical="center"/>
    </xf>
    <xf numFmtId="189" fontId="0" fillId="23" borderId="11" xfId="54" applyNumberFormat="1" applyFont="1" applyFill="1" applyBorder="1" applyAlignment="1">
      <alignment horizontal="center" vertical="center"/>
    </xf>
    <xf numFmtId="189" fontId="0" fillId="23" borderId="11" xfId="54" applyNumberFormat="1" applyFont="1" applyFill="1" applyBorder="1" applyAlignment="1">
      <alignment vertical="center"/>
    </xf>
    <xf numFmtId="0" fontId="0" fillId="23" borderId="11" xfId="0" applyFill="1" applyBorder="1" applyAlignment="1">
      <alignment horizontal="center" vertical="center"/>
    </xf>
    <xf numFmtId="0" fontId="19" fillId="23" borderId="11" xfId="0" applyFont="1" applyFill="1" applyBorder="1" applyAlignment="1">
      <alignment vertical="center"/>
    </xf>
    <xf numFmtId="0" fontId="19" fillId="23" borderId="23" xfId="0" applyFont="1" applyFill="1" applyBorder="1" applyAlignment="1">
      <alignment vertical="center"/>
    </xf>
    <xf numFmtId="189" fontId="0" fillId="23" borderId="24" xfId="54" applyNumberFormat="1" applyFont="1" applyFill="1" applyBorder="1" applyAlignment="1">
      <alignment vertical="center"/>
    </xf>
    <xf numFmtId="0" fontId="20" fillId="23" borderId="25" xfId="0" applyFont="1" applyFill="1" applyBorder="1" applyAlignment="1">
      <alignment vertical="center"/>
    </xf>
    <xf numFmtId="0" fontId="0" fillId="23" borderId="16" xfId="0" applyFill="1" applyBorder="1" applyAlignment="1">
      <alignment vertical="center"/>
    </xf>
    <xf numFmtId="189" fontId="0" fillId="23" borderId="16" xfId="54" applyNumberFormat="1" applyFont="1" applyFill="1" applyBorder="1" applyAlignment="1">
      <alignment horizontal="center" vertical="center"/>
    </xf>
    <xf numFmtId="189" fontId="0" fillId="23" borderId="16" xfId="54" applyNumberFormat="1" applyFont="1" applyFill="1" applyBorder="1" applyAlignment="1">
      <alignment vertical="center"/>
    </xf>
    <xf numFmtId="0" fontId="0" fillId="23" borderId="16" xfId="0" applyFill="1" applyBorder="1" applyAlignment="1">
      <alignment horizontal="center" vertical="center"/>
    </xf>
    <xf numFmtId="0" fontId="20" fillId="23" borderId="22" xfId="0" applyFont="1" applyFill="1" applyBorder="1" applyAlignment="1">
      <alignment vertical="center" wrapText="1"/>
    </xf>
    <xf numFmtId="0" fontId="20" fillId="23" borderId="26" xfId="0" applyFont="1" applyFill="1" applyBorder="1" applyAlignment="1">
      <alignment vertical="center" wrapText="1"/>
    </xf>
    <xf numFmtId="189" fontId="0" fillId="23" borderId="15" xfId="54" applyNumberFormat="1" applyFont="1" applyFill="1" applyBorder="1" applyAlignment="1">
      <alignment vertical="center"/>
    </xf>
    <xf numFmtId="0" fontId="0" fillId="23" borderId="0" xfId="0" applyFill="1" applyAlignment="1">
      <alignment vertical="center"/>
    </xf>
    <xf numFmtId="189" fontId="0" fillId="23" borderId="0" xfId="54" applyNumberFormat="1" applyFont="1" applyFill="1" applyAlignment="1">
      <alignment horizontal="center" vertical="center"/>
    </xf>
    <xf numFmtId="189" fontId="0" fillId="23" borderId="0" xfId="54" applyNumberFormat="1" applyFont="1" applyFill="1" applyAlignment="1">
      <alignment vertical="center"/>
    </xf>
    <xf numFmtId="0" fontId="0" fillId="23" borderId="0" xfId="0" applyFill="1" applyAlignment="1">
      <alignment horizontal="center" vertical="center"/>
    </xf>
    <xf numFmtId="0" fontId="19" fillId="23" borderId="0" xfId="0" applyFont="1" applyFill="1" applyAlignment="1">
      <alignment vertical="center"/>
    </xf>
    <xf numFmtId="0" fontId="21" fillId="23" borderId="27" xfId="0" applyFont="1" applyFill="1" applyBorder="1" applyAlignment="1">
      <alignment horizontal="center" vertical="center" wrapText="1"/>
    </xf>
    <xf numFmtId="0" fontId="26" fillId="23" borderId="27" xfId="0" applyFont="1" applyFill="1" applyBorder="1" applyAlignment="1">
      <alignment horizontal="center" vertical="center" wrapText="1"/>
    </xf>
    <xf numFmtId="0" fontId="19" fillId="23" borderId="27" xfId="0" applyFont="1" applyFill="1" applyBorder="1" applyAlignment="1">
      <alignment vertical="center"/>
    </xf>
    <xf numFmtId="0" fontId="19" fillId="23" borderId="28" xfId="0" applyFont="1" applyFill="1" applyBorder="1" applyAlignment="1">
      <alignment horizontal="center" vertical="center"/>
    </xf>
    <xf numFmtId="0" fontId="19" fillId="23" borderId="2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/>
    </xf>
    <xf numFmtId="189" fontId="20" fillId="0" borderId="10" xfId="55" applyNumberFormat="1" applyFont="1" applyFill="1" applyBorder="1" applyAlignment="1">
      <alignment horizontal="center" vertical="center" wrapText="1"/>
    </xf>
    <xf numFmtId="3" fontId="0" fillId="0" borderId="30" xfId="0" applyNumberFormat="1" applyFont="1" applyFill="1" applyBorder="1" applyAlignment="1">
      <alignment horizontal="left" vertical="center"/>
    </xf>
    <xf numFmtId="0" fontId="21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justify" vertical="center"/>
    </xf>
    <xf numFmtId="0" fontId="0" fillId="0" borderId="31" xfId="0" applyFont="1" applyFill="1" applyBorder="1" applyAlignment="1">
      <alignment horizontal="left" vertical="center"/>
    </xf>
    <xf numFmtId="0" fontId="20" fillId="0" borderId="32" xfId="0" applyFont="1" applyFill="1" applyBorder="1" applyAlignment="1">
      <alignment horizontal="left" vertical="center"/>
    </xf>
    <xf numFmtId="49" fontId="19" fillId="0" borderId="11" xfId="54" applyNumberFormat="1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49" fontId="19" fillId="0" borderId="33" xfId="54" applyNumberFormat="1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3" fontId="20" fillId="0" borderId="32" xfId="0" applyNumberFormat="1" applyFont="1" applyFill="1" applyBorder="1" applyAlignment="1">
      <alignment horizontal="right" vertical="center"/>
    </xf>
    <xf numFmtId="49" fontId="19" fillId="0" borderId="26" xfId="54" applyNumberFormat="1" applyFont="1" applyFill="1" applyBorder="1" applyAlignment="1">
      <alignment horizontal="center" vertical="center"/>
    </xf>
    <xf numFmtId="0" fontId="21" fillId="16" borderId="34" xfId="0" applyFont="1" applyFill="1" applyBorder="1" applyAlignment="1">
      <alignment horizontal="center" vertical="center"/>
    </xf>
    <xf numFmtId="0" fontId="21" fillId="16" borderId="32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7" fillId="4" borderId="10" xfId="0" applyFont="1" applyFill="1" applyBorder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justify" vertical="center"/>
    </xf>
    <xf numFmtId="191" fontId="19" fillId="0" borderId="0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left" vertical="center"/>
    </xf>
    <xf numFmtId="186" fontId="20" fillId="0" borderId="11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56" fillId="25" borderId="10" xfId="0" applyFont="1" applyFill="1" applyBorder="1" applyAlignment="1">
      <alignment vertical="center" wrapText="1"/>
    </xf>
    <xf numFmtId="0" fontId="56" fillId="26" borderId="10" xfId="0" applyFont="1" applyFill="1" applyBorder="1" applyAlignment="1">
      <alignment vertical="center" wrapText="1"/>
    </xf>
    <xf numFmtId="0" fontId="56" fillId="27" borderId="10" xfId="0" applyFont="1" applyFill="1" applyBorder="1" applyAlignment="1">
      <alignment vertical="center" wrapText="1"/>
    </xf>
    <xf numFmtId="0" fontId="56" fillId="28" borderId="10" xfId="0" applyFont="1" applyFill="1" applyBorder="1" applyAlignment="1">
      <alignment vertical="center" wrapText="1"/>
    </xf>
    <xf numFmtId="0" fontId="56" fillId="29" borderId="10" xfId="0" applyFont="1" applyFill="1" applyBorder="1" applyAlignment="1">
      <alignment vertical="center" wrapText="1"/>
    </xf>
    <xf numFmtId="0" fontId="23" fillId="23" borderId="12" xfId="0" applyFont="1" applyFill="1" applyBorder="1" applyAlignment="1">
      <alignment horizontal="center" vertical="center"/>
    </xf>
    <xf numFmtId="0" fontId="23" fillId="23" borderId="0" xfId="0" applyFont="1" applyFill="1" applyBorder="1" applyAlignment="1">
      <alignment horizontal="center" vertical="center"/>
    </xf>
    <xf numFmtId="0" fontId="20" fillId="23" borderId="11" xfId="0" applyFont="1" applyFill="1" applyBorder="1" applyAlignment="1">
      <alignment vertical="center"/>
    </xf>
    <xf numFmtId="0" fontId="20" fillId="23" borderId="16" xfId="0" applyFont="1" applyFill="1" applyBorder="1" applyAlignment="1">
      <alignment vertical="center"/>
    </xf>
    <xf numFmtId="0" fontId="20" fillId="23" borderId="11" xfId="0" applyFont="1" applyFill="1" applyBorder="1" applyAlignment="1">
      <alignment vertical="center" wrapText="1"/>
    </xf>
    <xf numFmtId="0" fontId="0" fillId="2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0" fillId="23" borderId="36" xfId="0" applyFill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189" fontId="0" fillId="0" borderId="10" xfId="55" applyNumberFormat="1" applyFont="1" applyFill="1" applyBorder="1" applyAlignment="1">
      <alignment horizontal="center" vertical="center" wrapText="1"/>
    </xf>
    <xf numFmtId="9" fontId="22" fillId="0" borderId="10" xfId="64" applyFont="1" applyFill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justify" vertical="center" wrapText="1"/>
    </xf>
    <xf numFmtId="189" fontId="0" fillId="0" borderId="10" xfId="54" applyNumberFormat="1" applyFont="1" applyBorder="1" applyAlignment="1">
      <alignment horizontal="right" vertical="center"/>
    </xf>
    <xf numFmtId="0" fontId="57" fillId="28" borderId="29" xfId="0" applyFont="1" applyFill="1" applyBorder="1" applyAlignment="1">
      <alignment vertical="center"/>
    </xf>
    <xf numFmtId="0" fontId="57" fillId="29" borderId="37" xfId="0" applyFont="1" applyFill="1" applyBorder="1" applyAlignment="1">
      <alignment vertical="center"/>
    </xf>
    <xf numFmtId="1" fontId="22" fillId="0" borderId="10" xfId="64" applyNumberFormat="1" applyFont="1" applyFill="1" applyBorder="1" applyAlignment="1">
      <alignment horizontal="center" vertical="center" wrapText="1"/>
    </xf>
    <xf numFmtId="9" fontId="1" fillId="0" borderId="24" xfId="64" applyFont="1" applyFill="1" applyBorder="1" applyAlignment="1">
      <alignment horizontal="center" vertical="center" wrapText="1"/>
    </xf>
    <xf numFmtId="0" fontId="0" fillId="23" borderId="24" xfId="0" applyFill="1" applyBorder="1" applyAlignment="1">
      <alignment horizontal="center" vertical="center" wrapText="1"/>
    </xf>
    <xf numFmtId="0" fontId="0" fillId="23" borderId="10" xfId="0" applyFont="1" applyFill="1" applyBorder="1" applyAlignment="1">
      <alignment horizontal="justify" vertical="center" wrapText="1"/>
    </xf>
    <xf numFmtId="9" fontId="1" fillId="0" borderId="10" xfId="64" applyFont="1" applyFill="1" applyBorder="1" applyAlignment="1">
      <alignment horizontal="center" vertical="center" wrapText="1"/>
    </xf>
    <xf numFmtId="0" fontId="0" fillId="23" borderId="10" xfId="0" applyFont="1" applyFill="1" applyBorder="1" applyAlignment="1">
      <alignment vertical="center" wrapText="1"/>
    </xf>
    <xf numFmtId="0" fontId="57" fillId="29" borderId="37" xfId="0" applyFont="1" applyFill="1" applyBorder="1" applyAlignment="1">
      <alignment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3" fontId="0" fillId="0" borderId="30" xfId="0" applyNumberFormat="1" applyFont="1" applyBorder="1" applyAlignment="1">
      <alignment horizontal="right" vertical="center"/>
    </xf>
    <xf numFmtId="14" fontId="20" fillId="0" borderId="10" xfId="0" applyNumberFormat="1" applyFont="1" applyBorder="1" applyAlignment="1">
      <alignment vertical="center"/>
    </xf>
    <xf numFmtId="0" fontId="0" fillId="23" borderId="10" xfId="54" applyNumberFormat="1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 horizontal="center" vertical="center"/>
    </xf>
    <xf numFmtId="189" fontId="0" fillId="0" borderId="10" xfId="54" applyNumberFormat="1" applyFont="1" applyFill="1" applyBorder="1" applyAlignment="1">
      <alignment horizontal="center" vertical="center" wrapText="1"/>
    </xf>
    <xf numFmtId="189" fontId="0" fillId="0" borderId="10" xfId="54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" fontId="0" fillId="0" borderId="10" xfId="62" applyNumberFormat="1" applyBorder="1" applyAlignment="1">
      <alignment horizontal="center" vertical="center" wrapText="1"/>
      <protection/>
    </xf>
    <xf numFmtId="49" fontId="22" fillId="0" borderId="10" xfId="62" applyNumberFormat="1" applyFont="1" applyBorder="1" applyAlignment="1">
      <alignment horizontal="center" vertical="center" wrapText="1"/>
      <protection/>
    </xf>
    <xf numFmtId="1" fontId="22" fillId="0" borderId="10" xfId="52" applyNumberFormat="1" applyFont="1" applyFill="1" applyBorder="1" applyAlignment="1">
      <alignment horizontal="center" vertical="center" wrapText="1"/>
    </xf>
    <xf numFmtId="197" fontId="27" fillId="0" borderId="10" xfId="58" applyNumberFormat="1" applyFont="1" applyFill="1" applyBorder="1" applyAlignment="1">
      <alignment horizontal="center" vertical="center" wrapText="1"/>
    </xf>
    <xf numFmtId="49" fontId="22" fillId="0" borderId="34" xfId="62" applyNumberFormat="1" applyFont="1" applyBorder="1" applyAlignment="1">
      <alignment horizontal="center" vertical="center" wrapText="1"/>
      <protection/>
    </xf>
    <xf numFmtId="1" fontId="0" fillId="0" borderId="10" xfId="62" applyNumberFormat="1" applyBorder="1" applyAlignment="1" quotePrefix="1">
      <alignment horizontal="center" vertical="center" wrapText="1"/>
      <protection/>
    </xf>
    <xf numFmtId="49" fontId="22" fillId="23" borderId="10" xfId="62" applyNumberFormat="1" applyFont="1" applyFill="1" applyBorder="1" applyAlignment="1">
      <alignment horizontal="center" vertical="center" wrapText="1"/>
      <protection/>
    </xf>
    <xf numFmtId="49" fontId="22" fillId="0" borderId="10" xfId="62" applyNumberFormat="1" applyFont="1" applyBorder="1" applyAlignment="1">
      <alignment horizontal="center" vertical="center"/>
      <protection/>
    </xf>
    <xf numFmtId="1" fontId="22" fillId="0" borderId="10" xfId="62" applyNumberFormat="1" applyFont="1" applyBorder="1" applyAlignment="1">
      <alignment horizontal="center" vertical="center"/>
      <protection/>
    </xf>
    <xf numFmtId="0" fontId="25" fillId="23" borderId="10" xfId="0" applyFont="1" applyFill="1" applyBorder="1" applyAlignment="1">
      <alignment horizontal="justify" vertical="center" wrapText="1"/>
    </xf>
    <xf numFmtId="9" fontId="25" fillId="0" borderId="10" xfId="64" applyFont="1" applyBorder="1" applyAlignment="1">
      <alignment horizontal="center" vertical="center" wrapText="1"/>
    </xf>
    <xf numFmtId="0" fontId="25" fillId="23" borderId="10" xfId="61" applyFont="1" applyFill="1" applyBorder="1" applyAlignment="1">
      <alignment horizontal="justify" vertical="center" wrapText="1"/>
    </xf>
    <xf numFmtId="0" fontId="25" fillId="23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176" fontId="27" fillId="4" borderId="10" xfId="0" applyNumberFormat="1" applyFont="1" applyFill="1" applyBorder="1" applyAlignment="1">
      <alignment vertical="center"/>
    </xf>
    <xf numFmtId="176" fontId="27" fillId="4" borderId="10" xfId="58" applyFont="1" applyFill="1" applyBorder="1" applyAlignment="1">
      <alignment vertical="center"/>
    </xf>
    <xf numFmtId="0" fontId="0" fillId="23" borderId="24" xfId="0" applyFill="1" applyBorder="1" applyAlignment="1">
      <alignment horizontal="center" vertical="center" wrapText="1"/>
    </xf>
    <xf numFmtId="0" fontId="0" fillId="23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196" fontId="0" fillId="23" borderId="10" xfId="0" applyNumberFormat="1" applyFont="1" applyFill="1" applyBorder="1" applyAlignment="1">
      <alignment horizontal="center" vertical="center" wrapText="1"/>
    </xf>
    <xf numFmtId="196" fontId="0" fillId="0" borderId="10" xfId="58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34" xfId="54" applyNumberFormat="1" applyFont="1" applyFill="1" applyBorder="1" applyAlignment="1">
      <alignment horizontal="center" wrapText="1"/>
    </xf>
    <xf numFmtId="196" fontId="0" fillId="0" borderId="34" xfId="58" applyNumberFormat="1" applyFont="1" applyFill="1" applyBorder="1" applyAlignment="1">
      <alignment horizontal="right" vertical="center" wrapText="1"/>
    </xf>
    <xf numFmtId="198" fontId="0" fillId="0" borderId="38" xfId="58" applyNumberFormat="1" applyFont="1" applyBorder="1" applyAlignment="1">
      <alignment/>
    </xf>
    <xf numFmtId="189" fontId="39" fillId="23" borderId="10" xfId="49" applyNumberFormat="1" applyFont="1" applyFill="1" applyBorder="1" applyAlignment="1">
      <alignment vertical="center"/>
    </xf>
    <xf numFmtId="189" fontId="0" fillId="0" borderId="0" xfId="0" applyNumberFormat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89" fontId="39" fillId="23" borderId="39" xfId="49" applyNumberFormat="1" applyFont="1" applyFill="1" applyBorder="1" applyAlignment="1">
      <alignment vertical="center"/>
    </xf>
    <xf numFmtId="189" fontId="39" fillId="23" borderId="0" xfId="49" applyNumberFormat="1" applyFont="1" applyFill="1" applyBorder="1" applyAlignment="1">
      <alignment vertical="center"/>
    </xf>
    <xf numFmtId="189" fontId="0" fillId="0" borderId="0" xfId="0" applyNumberFormat="1" applyBorder="1" applyAlignment="1">
      <alignment vertical="center"/>
    </xf>
    <xf numFmtId="189" fontId="0" fillId="0" borderId="10" xfId="49" applyNumberFormat="1" applyFont="1" applyBorder="1" applyAlignment="1">
      <alignment horizontal="right" vertical="center"/>
    </xf>
    <xf numFmtId="189" fontId="0" fillId="0" borderId="0" xfId="49" applyNumberFormat="1" applyFont="1" applyBorder="1" applyAlignment="1">
      <alignment vertical="center"/>
    </xf>
    <xf numFmtId="189" fontId="0" fillId="23" borderId="10" xfId="54" applyNumberFormat="1" applyFont="1" applyFill="1" applyBorder="1" applyAlignment="1">
      <alignment horizontal="center" vertical="center" wrapText="1"/>
    </xf>
    <xf numFmtId="0" fontId="0" fillId="23" borderId="10" xfId="0" applyFill="1" applyBorder="1" applyAlignment="1">
      <alignment horizontal="center" vertical="center" wrapText="1"/>
    </xf>
    <xf numFmtId="0" fontId="0" fillId="23" borderId="24" xfId="0" applyFill="1" applyBorder="1" applyAlignment="1">
      <alignment horizontal="center" vertical="center" wrapText="1"/>
    </xf>
    <xf numFmtId="0" fontId="0" fillId="23" borderId="10" xfId="0" applyFont="1" applyFill="1" applyBorder="1" applyAlignment="1">
      <alignment horizontal="center" vertical="center" wrapText="1"/>
    </xf>
    <xf numFmtId="0" fontId="20" fillId="23" borderId="34" xfId="0" applyFont="1" applyFill="1" applyBorder="1" applyAlignment="1">
      <alignment horizontal="center" vertical="center"/>
    </xf>
    <xf numFmtId="0" fontId="0" fillId="23" borderId="36" xfId="0" applyFill="1" applyBorder="1" applyAlignment="1">
      <alignment horizontal="center" vertical="center"/>
    </xf>
    <xf numFmtId="189" fontId="20" fillId="23" borderId="10" xfId="54" applyNumberFormat="1" applyFont="1" applyFill="1" applyBorder="1" applyAlignment="1">
      <alignment horizontal="center" vertical="center" wrapText="1"/>
    </xf>
    <xf numFmtId="176" fontId="20" fillId="30" borderId="0" xfId="56" applyFont="1" applyFill="1" applyBorder="1" applyAlignment="1" applyProtection="1">
      <alignment horizontal="center" vertical="center"/>
      <protection hidden="1" locked="0"/>
    </xf>
    <xf numFmtId="176" fontId="0" fillId="23" borderId="10" xfId="56" applyFont="1" applyFill="1" applyBorder="1" applyAlignment="1">
      <alignment horizontal="center" vertical="center"/>
    </xf>
    <xf numFmtId="176" fontId="0" fillId="23" borderId="10" xfId="56" applyFont="1" applyFill="1" applyBorder="1" applyAlignment="1">
      <alignment vertical="center"/>
    </xf>
    <xf numFmtId="176" fontId="0" fillId="0" borderId="30" xfId="56" applyFont="1" applyBorder="1" applyAlignment="1">
      <alignment/>
    </xf>
    <xf numFmtId="0" fontId="26" fillId="23" borderId="39" xfId="0" applyFont="1" applyFill="1" applyBorder="1" applyAlignment="1">
      <alignment horizontal="center" vertical="center" wrapText="1"/>
    </xf>
    <xf numFmtId="0" fontId="26" fillId="23" borderId="35" xfId="0" applyFont="1" applyFill="1" applyBorder="1" applyAlignment="1">
      <alignment horizontal="center" vertical="center" wrapText="1"/>
    </xf>
    <xf numFmtId="0" fontId="0" fillId="31" borderId="10" xfId="0" applyFont="1" applyFill="1" applyBorder="1" applyAlignment="1">
      <alignment horizontal="center" vertical="center" wrapText="1"/>
    </xf>
    <xf numFmtId="189" fontId="0" fillId="31" borderId="10" xfId="54" applyNumberFormat="1" applyFont="1" applyFill="1" applyBorder="1" applyAlignment="1">
      <alignment horizontal="center" vertical="center" wrapText="1"/>
    </xf>
    <xf numFmtId="9" fontId="19" fillId="23" borderId="0" xfId="64" applyFont="1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wrapText="1"/>
    </xf>
    <xf numFmtId="10" fontId="0" fillId="23" borderId="10" xfId="64" applyNumberFormat="1" applyFont="1" applyFill="1" applyBorder="1" applyAlignment="1">
      <alignment horizontal="center" vertical="center"/>
    </xf>
    <xf numFmtId="0" fontId="59" fillId="23" borderId="12" xfId="0" applyFont="1" applyFill="1" applyBorder="1" applyAlignment="1">
      <alignment horizontal="left" vertical="center"/>
    </xf>
    <xf numFmtId="189" fontId="20" fillId="23" borderId="0" xfId="54" applyNumberFormat="1" applyFont="1" applyFill="1" applyBorder="1" applyAlignment="1">
      <alignment horizontal="center" vertical="center" wrapText="1"/>
    </xf>
    <xf numFmtId="189" fontId="0" fillId="23" borderId="0" xfId="54" applyNumberFormat="1" applyFont="1" applyFill="1" applyBorder="1" applyAlignment="1">
      <alignment vertical="center"/>
    </xf>
    <xf numFmtId="189" fontId="20" fillId="23" borderId="28" xfId="54" applyNumberFormat="1" applyFont="1" applyFill="1" applyBorder="1" applyAlignment="1">
      <alignment vertical="center"/>
    </xf>
    <xf numFmtId="0" fontId="20" fillId="23" borderId="12" xfId="0" applyFont="1" applyFill="1" applyBorder="1" applyAlignment="1">
      <alignment horizontal="left" vertical="center"/>
    </xf>
    <xf numFmtId="189" fontId="20" fillId="23" borderId="30" xfId="54" applyNumberFormat="1" applyFont="1" applyFill="1" applyBorder="1" applyAlignment="1">
      <alignment horizontal="center" vertical="center" wrapText="1"/>
    </xf>
    <xf numFmtId="189" fontId="20" fillId="23" borderId="18" xfId="54" applyNumberFormat="1" applyFont="1" applyFill="1" applyBorder="1" applyAlignment="1">
      <alignment vertical="center"/>
    </xf>
    <xf numFmtId="0" fontId="20" fillId="23" borderId="41" xfId="0" applyFont="1" applyFill="1" applyBorder="1" applyAlignment="1">
      <alignment horizontal="center" vertical="center"/>
    </xf>
    <xf numFmtId="0" fontId="20" fillId="23" borderId="28" xfId="0" applyFont="1" applyFill="1" applyBorder="1" applyAlignment="1">
      <alignment horizontal="left" vertical="center"/>
    </xf>
    <xf numFmtId="189" fontId="0" fillId="23" borderId="41" xfId="54" applyNumberFormat="1" applyFont="1" applyFill="1" applyBorder="1" applyAlignment="1">
      <alignment vertical="center"/>
    </xf>
    <xf numFmtId="0" fontId="20" fillId="23" borderId="31" xfId="0" applyFont="1" applyFill="1" applyBorder="1" applyAlignment="1">
      <alignment horizontal="center" vertical="center"/>
    </xf>
    <xf numFmtId="189" fontId="0" fillId="23" borderId="18" xfId="54" applyNumberFormat="1" applyFont="1" applyFill="1" applyBorder="1" applyAlignment="1">
      <alignment vertical="center"/>
    </xf>
    <xf numFmtId="189" fontId="20" fillId="23" borderId="32" xfId="54" applyNumberFormat="1" applyFont="1" applyFill="1" applyBorder="1" applyAlignment="1">
      <alignment horizontal="center" vertical="center" wrapText="1"/>
    </xf>
    <xf numFmtId="198" fontId="0" fillId="0" borderId="35" xfId="58" applyNumberFormat="1" applyFont="1" applyBorder="1" applyAlignment="1">
      <alignment/>
    </xf>
    <xf numFmtId="189" fontId="0" fillId="23" borderId="30" xfId="54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196" fontId="0" fillId="0" borderId="41" xfId="58" applyNumberFormat="1" applyFont="1" applyFill="1" applyBorder="1" applyAlignment="1">
      <alignment horizontal="center" vertical="center" wrapText="1"/>
    </xf>
    <xf numFmtId="0" fontId="26" fillId="23" borderId="41" xfId="0" applyFont="1" applyFill="1" applyBorder="1" applyAlignment="1">
      <alignment horizontal="center" vertical="center" wrapText="1"/>
    </xf>
    <xf numFmtId="0" fontId="26" fillId="23" borderId="42" xfId="0" applyFont="1" applyFill="1" applyBorder="1" applyAlignment="1">
      <alignment horizontal="center" vertical="center" wrapText="1"/>
    </xf>
    <xf numFmtId="0" fontId="26" fillId="23" borderId="43" xfId="0" applyFont="1" applyFill="1" applyBorder="1" applyAlignment="1">
      <alignment horizontal="center" vertical="center" wrapText="1"/>
    </xf>
    <xf numFmtId="0" fontId="26" fillId="23" borderId="24" xfId="0" applyFont="1" applyFill="1" applyBorder="1" applyAlignment="1">
      <alignment horizontal="center" vertical="center" wrapText="1"/>
    </xf>
    <xf numFmtId="0" fontId="26" fillId="23" borderId="44" xfId="0" applyFont="1" applyFill="1" applyBorder="1" applyAlignment="1">
      <alignment horizontal="center" vertical="center" wrapText="1"/>
    </xf>
    <xf numFmtId="207" fontId="60" fillId="23" borderId="10" xfId="54" applyNumberFormat="1" applyFont="1" applyFill="1" applyBorder="1" applyAlignment="1">
      <alignment vertical="center"/>
    </xf>
    <xf numFmtId="198" fontId="0" fillId="32" borderId="35" xfId="58" applyNumberFormat="1" applyFont="1" applyFill="1" applyBorder="1" applyAlignment="1">
      <alignment/>
    </xf>
    <xf numFmtId="196" fontId="0" fillId="32" borderId="10" xfId="58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31" borderId="34" xfId="54" applyNumberFormat="1" applyFont="1" applyFill="1" applyBorder="1" applyAlignment="1">
      <alignment horizontal="center" wrapText="1"/>
    </xf>
    <xf numFmtId="196" fontId="0" fillId="31" borderId="34" xfId="58" applyNumberFormat="1" applyFont="1" applyFill="1" applyBorder="1" applyAlignment="1">
      <alignment horizontal="right" vertical="center" wrapText="1"/>
    </xf>
    <xf numFmtId="198" fontId="0" fillId="31" borderId="38" xfId="58" applyNumberFormat="1" applyFont="1" applyFill="1" applyBorder="1" applyAlignment="1">
      <alignment/>
    </xf>
    <xf numFmtId="3" fontId="0" fillId="31" borderId="10" xfId="0" applyNumberFormat="1" applyFont="1" applyFill="1" applyBorder="1" applyAlignment="1">
      <alignment horizontal="center" vertical="center"/>
    </xf>
    <xf numFmtId="196" fontId="0" fillId="31" borderId="10" xfId="0" applyNumberFormat="1" applyFont="1" applyFill="1" applyBorder="1" applyAlignment="1">
      <alignment horizontal="center" vertical="center" wrapText="1"/>
    </xf>
    <xf numFmtId="196" fontId="0" fillId="31" borderId="10" xfId="58" applyNumberFormat="1" applyFont="1" applyFill="1" applyBorder="1" applyAlignment="1">
      <alignment horizontal="center" vertical="center" wrapText="1"/>
    </xf>
    <xf numFmtId="198" fontId="0" fillId="0" borderId="0" xfId="0" applyNumberFormat="1" applyAlignment="1">
      <alignment horizontal="center" vertical="center"/>
    </xf>
    <xf numFmtId="189" fontId="0" fillId="31" borderId="0" xfId="54" applyNumberFormat="1" applyFont="1" applyFill="1" applyAlignment="1">
      <alignment vertical="center"/>
    </xf>
    <xf numFmtId="198" fontId="0" fillId="31" borderId="35" xfId="58" applyNumberFormat="1" applyFont="1" applyFill="1" applyBorder="1" applyAlignment="1">
      <alignment/>
    </xf>
    <xf numFmtId="189" fontId="20" fillId="0" borderId="10" xfId="54" applyNumberFormat="1" applyFont="1" applyBorder="1" applyAlignment="1">
      <alignment vertical="center"/>
    </xf>
    <xf numFmtId="189" fontId="0" fillId="0" borderId="10" xfId="54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189" fontId="61" fillId="0" borderId="10" xfId="54" applyNumberFormat="1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189" fontId="54" fillId="0" borderId="10" xfId="54" applyNumberFormat="1" applyFont="1" applyBorder="1" applyAlignment="1">
      <alignment vertical="center"/>
    </xf>
    <xf numFmtId="0" fontId="0" fillId="23" borderId="24" xfId="0" applyFill="1" applyBorder="1" applyAlignment="1">
      <alignment horizontal="center" vertical="center" wrapText="1"/>
    </xf>
    <xf numFmtId="0" fontId="0" fillId="23" borderId="10" xfId="0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justify" vertical="top" wrapText="1"/>
    </xf>
    <xf numFmtId="0" fontId="2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189" fontId="19" fillId="23" borderId="0" xfId="0" applyNumberFormat="1" applyFont="1" applyFill="1" applyBorder="1" applyAlignment="1">
      <alignment vertical="center"/>
    </xf>
    <xf numFmtId="0" fontId="20" fillId="23" borderId="25" xfId="0" applyFont="1" applyFill="1" applyBorder="1" applyAlignment="1">
      <alignment horizontal="left" vertical="center"/>
    </xf>
    <xf numFmtId="0" fontId="20" fillId="23" borderId="16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54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49" fontId="26" fillId="0" borderId="0" xfId="0" applyNumberFormat="1" applyFont="1" applyAlignment="1">
      <alignment vertical="center"/>
    </xf>
    <xf numFmtId="0" fontId="0" fillId="0" borderId="40" xfId="0" applyFont="1" applyFill="1" applyBorder="1" applyAlignment="1">
      <alignment horizontal="left" vertical="center" wrapText="1"/>
    </xf>
    <xf numFmtId="0" fontId="20" fillId="23" borderId="22" xfId="0" applyFont="1" applyFill="1" applyBorder="1" applyAlignment="1">
      <alignment horizontal="left" vertical="center"/>
    </xf>
    <xf numFmtId="0" fontId="20" fillId="23" borderId="22" xfId="0" applyFont="1" applyFill="1" applyBorder="1" applyAlignment="1">
      <alignment horizontal="left" vertical="center" wrapText="1"/>
    </xf>
    <xf numFmtId="0" fontId="0" fillId="23" borderId="0" xfId="0" applyFill="1" applyAlignment="1">
      <alignment horizontal="left" vertical="center"/>
    </xf>
    <xf numFmtId="0" fontId="23" fillId="23" borderId="12" xfId="0" applyFont="1" applyFill="1" applyBorder="1" applyAlignment="1">
      <alignment horizontal="left" vertical="center"/>
    </xf>
    <xf numFmtId="0" fontId="23" fillId="23" borderId="0" xfId="0" applyFont="1" applyFill="1" applyBorder="1" applyAlignment="1">
      <alignment horizontal="left" vertical="center"/>
    </xf>
    <xf numFmtId="0" fontId="0" fillId="23" borderId="10" xfId="0" applyFont="1" applyFill="1" applyBorder="1" applyAlignment="1">
      <alignment horizontal="left" vertical="center" wrapText="1"/>
    </xf>
    <xf numFmtId="0" fontId="20" fillId="23" borderId="11" xfId="0" applyFont="1" applyFill="1" applyBorder="1" applyAlignment="1">
      <alignment horizontal="left" vertical="center"/>
    </xf>
    <xf numFmtId="0" fontId="20" fillId="23" borderId="11" xfId="0" applyFont="1" applyFill="1" applyBorder="1" applyAlignment="1">
      <alignment horizontal="left" vertical="center" wrapText="1"/>
    </xf>
    <xf numFmtId="176" fontId="20" fillId="30" borderId="10" xfId="58" applyFont="1" applyFill="1" applyBorder="1" applyAlignment="1" applyProtection="1">
      <alignment horizontal="center" vertical="center" wrapText="1"/>
      <protection hidden="1"/>
    </xf>
    <xf numFmtId="176" fontId="20" fillId="30" borderId="10" xfId="58" applyFont="1" applyFill="1" applyBorder="1" applyAlignment="1" applyProtection="1">
      <alignment horizontal="center" vertical="center" wrapText="1"/>
      <protection hidden="1" locked="0"/>
    </xf>
    <xf numFmtId="0" fontId="0" fillId="0" borderId="10" xfId="61" applyFont="1" applyFill="1" applyBorder="1" applyAlignment="1">
      <alignment horizontal="left" vertical="center" wrapText="1"/>
    </xf>
    <xf numFmtId="0" fontId="0" fillId="23" borderId="10" xfId="0" applyFont="1" applyFill="1" applyBorder="1" applyAlignment="1">
      <alignment horizontal="center" vertical="center" wrapText="1"/>
    </xf>
    <xf numFmtId="198" fontId="0" fillId="0" borderId="38" xfId="58" applyNumberFormat="1" applyFont="1" applyFill="1" applyBorder="1" applyAlignment="1">
      <alignment/>
    </xf>
    <xf numFmtId="198" fontId="19" fillId="23" borderId="0" xfId="0" applyNumberFormat="1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89" fontId="0" fillId="0" borderId="0" xfId="0" applyNumberFormat="1" applyFont="1" applyAlignment="1">
      <alignment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23" borderId="30" xfId="0" applyFont="1" applyFill="1" applyBorder="1" applyAlignment="1">
      <alignment horizontal="left" vertical="center" wrapText="1"/>
    </xf>
    <xf numFmtId="0" fontId="26" fillId="23" borderId="45" xfId="0" applyFont="1" applyFill="1" applyBorder="1" applyAlignment="1">
      <alignment horizontal="center" vertical="center" wrapText="1"/>
    </xf>
    <xf numFmtId="0" fontId="58" fillId="0" borderId="40" xfId="0" applyFont="1" applyFill="1" applyBorder="1" applyAlignment="1">
      <alignment horizontal="left" wrapText="1"/>
    </xf>
    <xf numFmtId="177" fontId="0" fillId="0" borderId="0" xfId="49" applyFont="1" applyAlignment="1">
      <alignment/>
    </xf>
    <xf numFmtId="0" fontId="0" fillId="0" borderId="10" xfId="0" applyBorder="1" applyAlignment="1">
      <alignment/>
    </xf>
    <xf numFmtId="3" fontId="0" fillId="23" borderId="10" xfId="0" applyNumberFormat="1" applyFont="1" applyFill="1" applyBorder="1" applyAlignment="1">
      <alignment vertical="center"/>
    </xf>
    <xf numFmtId="177" fontId="0" fillId="0" borderId="10" xfId="49" applyFont="1" applyBorder="1" applyAlignment="1">
      <alignment/>
    </xf>
    <xf numFmtId="176" fontId="0" fillId="0" borderId="10" xfId="56" applyFont="1" applyBorder="1" applyAlignment="1">
      <alignment/>
    </xf>
    <xf numFmtId="169" fontId="0" fillId="0" borderId="0" xfId="0" applyNumberFormat="1" applyAlignment="1">
      <alignment/>
    </xf>
    <xf numFmtId="0" fontId="0" fillId="0" borderId="10" xfId="0" applyFont="1" applyFill="1" applyBorder="1" applyAlignment="1">
      <alignment wrapText="1"/>
    </xf>
    <xf numFmtId="196" fontId="0" fillId="0" borderId="10" xfId="56" applyNumberFormat="1" applyFont="1" applyBorder="1" applyAlignment="1">
      <alignment horizontal="right"/>
    </xf>
    <xf numFmtId="43" fontId="0" fillId="0" borderId="0" xfId="0" applyNumberFormat="1" applyAlignment="1">
      <alignment/>
    </xf>
    <xf numFmtId="43" fontId="0" fillId="0" borderId="10" xfId="0" applyNumberFormat="1" applyBorder="1" applyAlignment="1">
      <alignment/>
    </xf>
    <xf numFmtId="196" fontId="0" fillId="0" borderId="0" xfId="0" applyNumberFormat="1" applyAlignment="1">
      <alignment/>
    </xf>
    <xf numFmtId="0" fontId="0" fillId="33" borderId="0" xfId="0" applyFill="1" applyAlignment="1">
      <alignment/>
    </xf>
    <xf numFmtId="189" fontId="0" fillId="33" borderId="10" xfId="54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196" fontId="0" fillId="33" borderId="10" xfId="56" applyNumberFormat="1" applyFont="1" applyFill="1" applyBorder="1" applyAlignment="1">
      <alignment horizontal="right"/>
    </xf>
    <xf numFmtId="176" fontId="0" fillId="33" borderId="10" xfId="56" applyFont="1" applyFill="1" applyBorder="1" applyAlignment="1">
      <alignment/>
    </xf>
    <xf numFmtId="176" fontId="0" fillId="33" borderId="10" xfId="56" applyFont="1" applyFill="1" applyBorder="1" applyAlignment="1">
      <alignment horizontal="right" vertical="center"/>
    </xf>
    <xf numFmtId="176" fontId="0" fillId="33" borderId="10" xfId="56" applyFont="1" applyFill="1" applyBorder="1" applyAlignment="1" applyProtection="1">
      <alignment horizontal="right" vertical="center"/>
      <protection/>
    </xf>
    <xf numFmtId="196" fontId="0" fillId="0" borderId="10" xfId="56" applyNumberFormat="1" applyFont="1" applyBorder="1" applyAlignment="1">
      <alignment/>
    </xf>
    <xf numFmtId="196" fontId="0" fillId="33" borderId="10" xfId="56" applyNumberFormat="1" applyFont="1" applyFill="1" applyBorder="1" applyAlignment="1">
      <alignment/>
    </xf>
    <xf numFmtId="176" fontId="0" fillId="33" borderId="0" xfId="56" applyFont="1" applyFill="1" applyBorder="1" applyAlignment="1">
      <alignment wrapText="1"/>
    </xf>
    <xf numFmtId="0" fontId="62" fillId="23" borderId="10" xfId="0" applyFont="1" applyFill="1" applyBorder="1" applyAlignment="1">
      <alignment vertical="center" wrapText="1"/>
    </xf>
    <xf numFmtId="0" fontId="0" fillId="33" borderId="0" xfId="0" applyFill="1" applyBorder="1" applyAlignment="1">
      <alignment wrapText="1"/>
    </xf>
    <xf numFmtId="176" fontId="0" fillId="33" borderId="0" xfId="56" applyFont="1" applyFill="1" applyBorder="1" applyAlignment="1">
      <alignment horizontal="right" vertical="center" wrapText="1"/>
    </xf>
    <xf numFmtId="189" fontId="0" fillId="33" borderId="0" xfId="54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1" fontId="32" fillId="34" borderId="10" xfId="60" applyFont="1" applyFill="1" applyBorder="1" applyAlignment="1">
      <alignment horizontal="left" vertical="center" wrapText="1"/>
      <protection/>
    </xf>
    <xf numFmtId="0" fontId="21" fillId="0" borderId="46" xfId="0" applyFont="1" applyFill="1" applyBorder="1" applyAlignment="1">
      <alignment horizontal="center" vertical="center" wrapText="1"/>
    </xf>
    <xf numFmtId="0" fontId="0" fillId="23" borderId="10" xfId="0" applyFont="1" applyFill="1" applyBorder="1" applyAlignment="1">
      <alignment horizontal="center" vertical="center" wrapText="1"/>
    </xf>
    <xf numFmtId="3" fontId="0" fillId="23" borderId="30" xfId="0" applyNumberFormat="1" applyFont="1" applyFill="1" applyBorder="1" applyAlignment="1">
      <alignment vertical="center"/>
    </xf>
    <xf numFmtId="3" fontId="0" fillId="23" borderId="35" xfId="0" applyNumberFormat="1" applyFont="1" applyFill="1" applyBorder="1" applyAlignment="1">
      <alignment vertical="center"/>
    </xf>
    <xf numFmtId="3" fontId="0" fillId="23" borderId="39" xfId="0" applyNumberFormat="1" applyFont="1" applyFill="1" applyBorder="1" applyAlignment="1">
      <alignment vertical="center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189" fontId="0" fillId="35" borderId="10" xfId="54" applyNumberFormat="1" applyFont="1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left" vertical="center" wrapText="1"/>
    </xf>
    <xf numFmtId="0" fontId="58" fillId="35" borderId="40" xfId="0" applyFont="1" applyFill="1" applyBorder="1" applyAlignment="1">
      <alignment horizontal="left" wrapText="1"/>
    </xf>
    <xf numFmtId="0" fontId="0" fillId="35" borderId="10" xfId="0" applyFont="1" applyFill="1" applyBorder="1" applyAlignment="1">
      <alignment horizontal="left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26" fillId="35" borderId="39" xfId="0" applyFont="1" applyFill="1" applyBorder="1" applyAlignment="1">
      <alignment horizontal="center" vertical="center" wrapText="1"/>
    </xf>
    <xf numFmtId="0" fontId="26" fillId="35" borderId="45" xfId="0" applyFont="1" applyFill="1" applyBorder="1" applyAlignment="1">
      <alignment horizontal="center" vertical="center" wrapText="1"/>
    </xf>
    <xf numFmtId="0" fontId="26" fillId="35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89" fontId="0" fillId="0" borderId="0" xfId="54" applyNumberFormat="1" applyFont="1" applyFill="1" applyBorder="1" applyAlignment="1">
      <alignment horizontal="center" vertical="center" wrapText="1"/>
    </xf>
    <xf numFmtId="0" fontId="0" fillId="23" borderId="0" xfId="0" applyFont="1" applyFill="1" applyBorder="1" applyAlignment="1">
      <alignment horizontal="left" vertical="center" wrapText="1"/>
    </xf>
    <xf numFmtId="0" fontId="26" fillId="23" borderId="47" xfId="0" applyFont="1" applyFill="1" applyBorder="1" applyAlignment="1">
      <alignment horizontal="center" vertical="center" wrapText="1"/>
    </xf>
    <xf numFmtId="0" fontId="58" fillId="31" borderId="40" xfId="0" applyFont="1" applyFill="1" applyBorder="1" applyAlignment="1">
      <alignment horizontal="left" wrapText="1"/>
    </xf>
    <xf numFmtId="0" fontId="0" fillId="31" borderId="10" xfId="0" applyFont="1" applyFill="1" applyBorder="1" applyAlignment="1">
      <alignment horizontal="center" vertical="center"/>
    </xf>
    <xf numFmtId="189" fontId="0" fillId="31" borderId="10" xfId="54" applyNumberFormat="1" applyFont="1" applyFill="1" applyBorder="1" applyAlignment="1">
      <alignment vertical="center"/>
    </xf>
    <xf numFmtId="14" fontId="23" fillId="0" borderId="35" xfId="0" applyNumberFormat="1" applyFont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justify" vertical="center" wrapText="1"/>
    </xf>
    <xf numFmtId="189" fontId="0" fillId="36" borderId="10" xfId="55" applyNumberFormat="1" applyFont="1" applyFill="1" applyBorder="1" applyAlignment="1">
      <alignment horizontal="center" vertical="center" wrapText="1"/>
    </xf>
    <xf numFmtId="9" fontId="22" fillId="36" borderId="10" xfId="64" applyFont="1" applyFill="1" applyBorder="1" applyAlignment="1">
      <alignment horizontal="center" vertical="center" wrapText="1"/>
    </xf>
    <xf numFmtId="9" fontId="1" fillId="36" borderId="10" xfId="64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justify" vertical="center" wrapText="1"/>
    </xf>
    <xf numFmtId="9" fontId="25" fillId="36" borderId="10" xfId="64" applyFont="1" applyFill="1" applyBorder="1" applyAlignment="1">
      <alignment horizontal="center" vertical="center" wrapText="1"/>
    </xf>
    <xf numFmtId="2" fontId="25" fillId="37" borderId="10" xfId="0" applyNumberFormat="1" applyFont="1" applyFill="1" applyBorder="1" applyAlignment="1">
      <alignment horizontal="center" vertical="center" wrapText="1"/>
    </xf>
    <xf numFmtId="1" fontId="22" fillId="36" borderId="10" xfId="64" applyNumberFormat="1" applyFont="1" applyFill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right" vertical="center"/>
    </xf>
    <xf numFmtId="0" fontId="21" fillId="36" borderId="10" xfId="0" applyFont="1" applyFill="1" applyBorder="1" applyAlignment="1">
      <alignment horizontal="center" vertical="center" wrapText="1"/>
    </xf>
    <xf numFmtId="9" fontId="25" fillId="38" borderId="10" xfId="64" applyFont="1" applyFill="1" applyBorder="1" applyAlignment="1">
      <alignment horizontal="center" vertical="center" wrapText="1"/>
    </xf>
    <xf numFmtId="9" fontId="25" fillId="23" borderId="10" xfId="64" applyFont="1" applyFill="1" applyBorder="1" applyAlignment="1">
      <alignment horizontal="center" vertical="center" wrapText="1"/>
    </xf>
    <xf numFmtId="2" fontId="25" fillId="38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49" fontId="65" fillId="0" borderId="0" xfId="54" applyNumberFormat="1" applyFont="1" applyFill="1" applyBorder="1" applyAlignment="1">
      <alignment horizontal="center" vertical="center"/>
    </xf>
    <xf numFmtId="189" fontId="60" fillId="0" borderId="0" xfId="0" applyNumberFormat="1" applyFont="1" applyAlignment="1">
      <alignment vertical="center"/>
    </xf>
    <xf numFmtId="0" fontId="66" fillId="0" borderId="0" xfId="0" applyFont="1" applyAlignment="1">
      <alignment vertical="center"/>
    </xf>
    <xf numFmtId="189" fontId="67" fillId="0" borderId="0" xfId="0" applyNumberFormat="1" applyFont="1" applyAlignment="1">
      <alignment vertical="center"/>
    </xf>
    <xf numFmtId="0" fontId="66" fillId="35" borderId="0" xfId="0" applyFont="1" applyFill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64" fillId="0" borderId="0" xfId="0" applyFont="1" applyAlignment="1">
      <alignment horizontal="center" vertical="center" wrapText="1"/>
    </xf>
    <xf numFmtId="189" fontId="60" fillId="0" borderId="0" xfId="0" applyNumberFormat="1" applyFont="1" applyBorder="1" applyAlignment="1">
      <alignment vertical="center"/>
    </xf>
    <xf numFmtId="189" fontId="60" fillId="0" borderId="0" xfId="54" applyNumberFormat="1" applyFont="1" applyAlignment="1">
      <alignment vertical="center"/>
    </xf>
    <xf numFmtId="177" fontId="20" fillId="0" borderId="10" xfId="55" applyNumberFormat="1" applyFont="1" applyFill="1" applyBorder="1" applyAlignment="1">
      <alignment horizontal="center" vertical="center" wrapText="1"/>
    </xf>
    <xf numFmtId="177" fontId="20" fillId="0" borderId="10" xfId="0" applyNumberFormat="1" applyFont="1" applyBorder="1" applyAlignment="1">
      <alignment vertical="center"/>
    </xf>
    <xf numFmtId="177" fontId="20" fillId="0" borderId="0" xfId="55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77" fontId="28" fillId="0" borderId="0" xfId="0" applyNumberFormat="1" applyFont="1" applyBorder="1" applyAlignment="1">
      <alignment vertical="center"/>
    </xf>
    <xf numFmtId="177" fontId="28" fillId="0" borderId="0" xfId="0" applyNumberFormat="1" applyFont="1" applyBorder="1" applyAlignment="1">
      <alignment horizontal="center" vertical="center"/>
    </xf>
    <xf numFmtId="177" fontId="0" fillId="0" borderId="0" xfId="49" applyFont="1" applyBorder="1" applyAlignment="1">
      <alignment vertical="center"/>
    </xf>
    <xf numFmtId="177" fontId="0" fillId="23" borderId="10" xfId="49" applyFont="1" applyFill="1" applyBorder="1" applyAlignment="1">
      <alignment vertical="center"/>
    </xf>
    <xf numFmtId="177" fontId="0" fillId="23" borderId="10" xfId="49" applyFont="1" applyFill="1" applyBorder="1" applyAlignment="1">
      <alignment horizontal="right" vertical="center"/>
    </xf>
    <xf numFmtId="177" fontId="0" fillId="23" borderId="10" xfId="49" applyFont="1" applyFill="1" applyBorder="1" applyAlignment="1" applyProtection="1">
      <alignment horizontal="right" vertical="center"/>
      <protection/>
    </xf>
    <xf numFmtId="177" fontId="68" fillId="23" borderId="10" xfId="49" applyFont="1" applyFill="1" applyBorder="1" applyAlignment="1">
      <alignment/>
    </xf>
    <xf numFmtId="177" fontId="0" fillId="0" borderId="10" xfId="49" applyFont="1" applyBorder="1" applyAlignment="1">
      <alignment vertical="center"/>
    </xf>
    <xf numFmtId="177" fontId="0" fillId="0" borderId="10" xfId="49" applyFont="1" applyBorder="1" applyAlignment="1">
      <alignment horizontal="right" vertical="center"/>
    </xf>
    <xf numFmtId="177" fontId="20" fillId="36" borderId="10" xfId="49" applyFont="1" applyFill="1" applyBorder="1" applyAlignment="1">
      <alignment horizontal="center" vertical="center" wrapText="1"/>
    </xf>
    <xf numFmtId="177" fontId="0" fillId="36" borderId="10" xfId="49" applyFont="1" applyFill="1" applyBorder="1" applyAlignment="1">
      <alignment horizontal="right" vertical="center"/>
    </xf>
    <xf numFmtId="177" fontId="0" fillId="36" borderId="10" xfId="49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left" vertical="center"/>
    </xf>
    <xf numFmtId="176" fontId="0" fillId="0" borderId="0" xfId="0" applyNumberFormat="1" applyAlignment="1">
      <alignment vertical="center"/>
    </xf>
    <xf numFmtId="176" fontId="20" fillId="23" borderId="10" xfId="0" applyNumberFormat="1" applyFont="1" applyFill="1" applyBorder="1" applyAlignment="1">
      <alignment vertical="center"/>
    </xf>
    <xf numFmtId="0" fontId="69" fillId="0" borderId="0" xfId="0" applyFont="1" applyAlignment="1">
      <alignment horizontal="center" vertical="center" wrapText="1"/>
    </xf>
    <xf numFmtId="0" fontId="20" fillId="0" borderId="26" xfId="0" applyFont="1" applyFill="1" applyBorder="1" applyAlignment="1">
      <alignment vertical="center"/>
    </xf>
    <xf numFmtId="1" fontId="1" fillId="23" borderId="10" xfId="64" applyNumberFormat="1" applyFont="1" applyFill="1" applyBorder="1" applyAlignment="1">
      <alignment horizontal="center" vertical="center" wrapText="1"/>
    </xf>
    <xf numFmtId="3" fontId="0" fillId="31" borderId="30" xfId="0" applyNumberFormat="1" applyFont="1" applyFill="1" applyBorder="1" applyAlignment="1">
      <alignment vertical="center"/>
    </xf>
    <xf numFmtId="3" fontId="0" fillId="31" borderId="35" xfId="0" applyNumberFormat="1" applyFont="1" applyFill="1" applyBorder="1" applyAlignment="1">
      <alignment vertical="center"/>
    </xf>
    <xf numFmtId="3" fontId="0" fillId="31" borderId="39" xfId="0" applyNumberFormat="1" applyFont="1" applyFill="1" applyBorder="1" applyAlignment="1">
      <alignment vertical="center"/>
    </xf>
    <xf numFmtId="0" fontId="0" fillId="31" borderId="30" xfId="0" applyFont="1" applyFill="1" applyBorder="1" applyAlignment="1">
      <alignment horizontal="left" wrapText="1"/>
    </xf>
    <xf numFmtId="0" fontId="0" fillId="31" borderId="35" xfId="0" applyFont="1" applyFill="1" applyBorder="1" applyAlignment="1">
      <alignment horizontal="left" wrapText="1"/>
    </xf>
    <xf numFmtId="0" fontId="0" fillId="31" borderId="39" xfId="0" applyFont="1" applyFill="1" applyBorder="1" applyAlignment="1">
      <alignment horizontal="left" wrapText="1"/>
    </xf>
    <xf numFmtId="189" fontId="0" fillId="23" borderId="0" xfId="0" applyNumberFormat="1" applyFont="1" applyFill="1" applyAlignment="1">
      <alignment vertical="center"/>
    </xf>
    <xf numFmtId="189" fontId="0" fillId="23" borderId="0" xfId="0" applyNumberForma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right" vertical="center"/>
    </xf>
    <xf numFmtId="0" fontId="20" fillId="0" borderId="35" xfId="0" applyFont="1" applyBorder="1" applyAlignment="1">
      <alignment horizontal="right" vertical="center"/>
    </xf>
    <xf numFmtId="0" fontId="20" fillId="0" borderId="39" xfId="0" applyFont="1" applyBorder="1" applyAlignment="1">
      <alignment horizontal="right" vertical="center"/>
    </xf>
    <xf numFmtId="204" fontId="20" fillId="0" borderId="35" xfId="56" applyNumberFormat="1" applyFont="1" applyBorder="1" applyAlignment="1">
      <alignment horizontal="center" vertical="center"/>
    </xf>
    <xf numFmtId="204" fontId="20" fillId="0" borderId="39" xfId="56" applyNumberFormat="1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9" fontId="1" fillId="0" borderId="24" xfId="64" applyFont="1" applyFill="1" applyBorder="1" applyAlignment="1">
      <alignment horizontal="center" vertical="center" wrapText="1"/>
    </xf>
    <xf numFmtId="9" fontId="1" fillId="0" borderId="46" xfId="64" applyFont="1" applyFill="1" applyBorder="1" applyAlignment="1">
      <alignment horizontal="center" vertical="center" wrapText="1"/>
    </xf>
    <xf numFmtId="0" fontId="0" fillId="23" borderId="24" xfId="0" applyFont="1" applyFill="1" applyBorder="1" applyAlignment="1">
      <alignment horizontal="center" vertical="center" wrapText="1"/>
    </xf>
    <xf numFmtId="0" fontId="0" fillId="23" borderId="34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23" borderId="24" xfId="0" applyFill="1" applyBorder="1" applyAlignment="1">
      <alignment horizontal="center" vertical="center" wrapText="1"/>
    </xf>
    <xf numFmtId="0" fontId="0" fillId="23" borderId="34" xfId="0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9" fontId="25" fillId="39" borderId="24" xfId="64" applyFont="1" applyFill="1" applyBorder="1" applyAlignment="1">
      <alignment horizontal="center" vertical="center" wrapText="1"/>
    </xf>
    <xf numFmtId="9" fontId="25" fillId="39" borderId="34" xfId="64" applyFont="1" applyFill="1" applyBorder="1" applyAlignment="1">
      <alignment horizontal="center" vertical="center" wrapText="1"/>
    </xf>
    <xf numFmtId="0" fontId="0" fillId="23" borderId="24" xfId="61" applyFont="1" applyFill="1" applyBorder="1" applyAlignment="1">
      <alignment horizontal="center" vertical="center" wrapText="1"/>
    </xf>
    <xf numFmtId="0" fontId="0" fillId="23" borderId="34" xfId="61" applyFont="1" applyFill="1" applyBorder="1" applyAlignment="1">
      <alignment horizontal="center" vertical="center" wrapText="1"/>
    </xf>
    <xf numFmtId="0" fontId="20" fillId="23" borderId="10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0" fillId="23" borderId="46" xfId="0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9" fontId="25" fillId="0" borderId="24" xfId="64" applyFont="1" applyBorder="1" applyAlignment="1">
      <alignment horizontal="center" vertical="center" wrapText="1"/>
    </xf>
    <xf numFmtId="9" fontId="25" fillId="0" borderId="46" xfId="64" applyFont="1" applyBorder="1" applyAlignment="1">
      <alignment horizontal="center" vertical="center" wrapText="1"/>
    </xf>
    <xf numFmtId="0" fontId="0" fillId="23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0" fillId="23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9" fontId="25" fillId="0" borderId="34" xfId="64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49" fontId="19" fillId="0" borderId="11" xfId="54" applyNumberFormat="1" applyFont="1" applyFill="1" applyBorder="1" applyAlignment="1">
      <alignment horizontal="center" vertical="center"/>
    </xf>
    <xf numFmtId="14" fontId="28" fillId="0" borderId="30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21" fillId="0" borderId="3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0" fillId="16" borderId="10" xfId="0" applyFont="1" applyFill="1" applyBorder="1" applyAlignment="1">
      <alignment horizontal="left" vertical="center" wrapText="1"/>
    </xf>
    <xf numFmtId="14" fontId="23" fillId="0" borderId="30" xfId="0" applyNumberFormat="1" applyFont="1" applyBorder="1" applyAlignment="1">
      <alignment horizontal="center" vertical="center"/>
    </xf>
    <xf numFmtId="14" fontId="23" fillId="0" borderId="35" xfId="0" applyNumberFormat="1" applyFont="1" applyBorder="1" applyAlignment="1">
      <alignment horizontal="center" vertical="center"/>
    </xf>
    <xf numFmtId="14" fontId="23" fillId="0" borderId="39" xfId="0" applyNumberFormat="1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0" fillId="16" borderId="34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0" fontId="20" fillId="16" borderId="41" xfId="0" applyFont="1" applyFill="1" applyBorder="1" applyAlignment="1">
      <alignment horizontal="left" vertical="center" wrapText="1"/>
    </xf>
    <xf numFmtId="0" fontId="20" fillId="16" borderId="42" xfId="0" applyFont="1" applyFill="1" applyBorder="1" applyAlignment="1">
      <alignment horizontal="left" vertical="center" wrapText="1"/>
    </xf>
    <xf numFmtId="0" fontId="20" fillId="16" borderId="43" xfId="0" applyFont="1" applyFill="1" applyBorder="1" applyAlignment="1">
      <alignment horizontal="left" vertical="center" wrapText="1"/>
    </xf>
    <xf numFmtId="0" fontId="20" fillId="16" borderId="32" xfId="0" applyFont="1" applyFill="1" applyBorder="1" applyAlignment="1">
      <alignment horizontal="left" vertical="center" wrapText="1"/>
    </xf>
    <xf numFmtId="0" fontId="20" fillId="16" borderId="11" xfId="0" applyFont="1" applyFill="1" applyBorder="1" applyAlignment="1">
      <alignment horizontal="left" vertical="center" wrapText="1"/>
    </xf>
    <xf numFmtId="0" fontId="20" fillId="16" borderId="26" xfId="0" applyFont="1" applyFill="1" applyBorder="1" applyAlignment="1">
      <alignment horizontal="left" vertical="center" wrapText="1"/>
    </xf>
    <xf numFmtId="49" fontId="19" fillId="0" borderId="0" xfId="54" applyNumberFormat="1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28" fillId="0" borderId="10" xfId="0" applyNumberFormat="1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left" vertical="center"/>
    </xf>
    <xf numFmtId="0" fontId="20" fillId="0" borderId="30" xfId="0" applyFont="1" applyBorder="1" applyAlignment="1">
      <alignment horizontal="justify" vertical="center" wrapText="1"/>
    </xf>
    <xf numFmtId="0" fontId="20" fillId="0" borderId="35" xfId="0" applyFont="1" applyBorder="1" applyAlignment="1">
      <alignment horizontal="justify" vertical="center" wrapText="1"/>
    </xf>
    <xf numFmtId="0" fontId="20" fillId="0" borderId="39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28" fillId="0" borderId="30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0" fillId="23" borderId="46" xfId="0" applyFont="1" applyFill="1" applyBorder="1" applyAlignment="1">
      <alignment horizontal="center" vertical="center" wrapText="1"/>
    </xf>
    <xf numFmtId="0" fontId="0" fillId="36" borderId="41" xfId="0" applyFont="1" applyFill="1" applyBorder="1" applyAlignment="1">
      <alignment horizontal="center" vertical="center" wrapText="1"/>
    </xf>
    <xf numFmtId="0" fontId="0" fillId="36" borderId="42" xfId="0" applyFont="1" applyFill="1" applyBorder="1" applyAlignment="1">
      <alignment horizontal="center" vertical="center" wrapText="1"/>
    </xf>
    <xf numFmtId="0" fontId="0" fillId="36" borderId="43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4" fontId="20" fillId="23" borderId="30" xfId="49" applyNumberFormat="1" applyFont="1" applyFill="1" applyBorder="1" applyAlignment="1">
      <alignment horizontal="right" vertical="center" wrapText="1"/>
    </xf>
    <xf numFmtId="4" fontId="20" fillId="23" borderId="35" xfId="49" applyNumberFormat="1" applyFont="1" applyFill="1" applyBorder="1" applyAlignment="1">
      <alignment horizontal="right" vertical="center" wrapText="1"/>
    </xf>
    <xf numFmtId="4" fontId="20" fillId="23" borderId="39" xfId="49" applyNumberFormat="1" applyFont="1" applyFill="1" applyBorder="1" applyAlignment="1">
      <alignment horizontal="right" vertical="center" wrapText="1"/>
    </xf>
    <xf numFmtId="0" fontId="20" fillId="0" borderId="41" xfId="0" applyFont="1" applyFill="1" applyBorder="1" applyAlignment="1">
      <alignment horizontal="left" vertical="center"/>
    </xf>
    <xf numFmtId="0" fontId="20" fillId="0" borderId="42" xfId="0" applyFont="1" applyFill="1" applyBorder="1" applyAlignment="1">
      <alignment horizontal="left" vertical="center"/>
    </xf>
    <xf numFmtId="0" fontId="20" fillId="0" borderId="43" xfId="0" applyFont="1" applyFill="1" applyBorder="1" applyAlignment="1">
      <alignment horizontal="left" vertical="center"/>
    </xf>
    <xf numFmtId="0" fontId="20" fillId="0" borderId="32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26" xfId="0" applyFont="1" applyFill="1" applyBorder="1" applyAlignment="1">
      <alignment horizontal="left" vertical="center"/>
    </xf>
    <xf numFmtId="0" fontId="0" fillId="23" borderId="24" xfId="0" applyFont="1" applyFill="1" applyBorder="1" applyAlignment="1">
      <alignment horizontal="left" vertical="center" wrapText="1"/>
    </xf>
    <xf numFmtId="0" fontId="0" fillId="23" borderId="34" xfId="0" applyFont="1" applyFill="1" applyBorder="1" applyAlignment="1">
      <alignment horizontal="left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0" fillId="23" borderId="36" xfId="0" applyFill="1" applyBorder="1" applyAlignment="1">
      <alignment horizontal="center" vertical="center"/>
    </xf>
    <xf numFmtId="0" fontId="0" fillId="23" borderId="35" xfId="0" applyFill="1" applyBorder="1" applyAlignment="1">
      <alignment horizontal="center" vertical="center"/>
    </xf>
    <xf numFmtId="0" fontId="0" fillId="23" borderId="39" xfId="0" applyFill="1" applyBorder="1" applyAlignment="1">
      <alignment horizontal="center" vertical="center"/>
    </xf>
    <xf numFmtId="0" fontId="20" fillId="23" borderId="48" xfId="0" applyFont="1" applyFill="1" applyBorder="1" applyAlignment="1">
      <alignment horizontal="center" vertical="center" wrapText="1"/>
    </xf>
    <xf numFmtId="0" fontId="20" fillId="23" borderId="12" xfId="0" applyFont="1" applyFill="1" applyBorder="1" applyAlignment="1">
      <alignment horizontal="center" vertical="center" wrapText="1"/>
    </xf>
    <xf numFmtId="0" fontId="20" fillId="23" borderId="49" xfId="0" applyFont="1" applyFill="1" applyBorder="1" applyAlignment="1">
      <alignment horizontal="center" vertical="center" wrapText="1"/>
    </xf>
    <xf numFmtId="0" fontId="20" fillId="23" borderId="22" xfId="0" applyFont="1" applyFill="1" applyBorder="1" applyAlignment="1">
      <alignment horizontal="center" vertical="center" wrapText="1"/>
    </xf>
    <xf numFmtId="0" fontId="20" fillId="23" borderId="11" xfId="0" applyFont="1" applyFill="1" applyBorder="1" applyAlignment="1">
      <alignment horizontal="center" vertical="center" wrapText="1"/>
    </xf>
    <xf numFmtId="0" fontId="20" fillId="23" borderId="26" xfId="0" applyFont="1" applyFill="1" applyBorder="1" applyAlignment="1">
      <alignment horizontal="center" vertical="center" wrapText="1"/>
    </xf>
    <xf numFmtId="0" fontId="27" fillId="23" borderId="50" xfId="0" applyFont="1" applyFill="1" applyBorder="1" applyAlignment="1">
      <alignment horizontal="right" vertical="center"/>
    </xf>
    <xf numFmtId="0" fontId="27" fillId="23" borderId="19" xfId="0" applyFont="1" applyFill="1" applyBorder="1" applyAlignment="1">
      <alignment horizontal="right" vertical="center"/>
    </xf>
    <xf numFmtId="0" fontId="27" fillId="23" borderId="20" xfId="0" applyFont="1" applyFill="1" applyBorder="1" applyAlignment="1">
      <alignment horizontal="right" vertical="center"/>
    </xf>
    <xf numFmtId="0" fontId="20" fillId="23" borderId="24" xfId="0" applyFont="1" applyFill="1" applyBorder="1" applyAlignment="1">
      <alignment horizontal="center" vertical="center"/>
    </xf>
    <xf numFmtId="0" fontId="20" fillId="23" borderId="34" xfId="0" applyFont="1" applyFill="1" applyBorder="1" applyAlignment="1">
      <alignment horizontal="center" vertical="center"/>
    </xf>
    <xf numFmtId="189" fontId="20" fillId="23" borderId="24" xfId="54" applyNumberFormat="1" applyFont="1" applyFill="1" applyBorder="1" applyAlignment="1">
      <alignment horizontal="center" vertical="center" wrapText="1"/>
    </xf>
    <xf numFmtId="189" fontId="20" fillId="23" borderId="34" xfId="54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left" wrapText="1"/>
    </xf>
    <xf numFmtId="0" fontId="0" fillId="0" borderId="39" xfId="0" applyFont="1" applyFill="1" applyBorder="1" applyAlignment="1">
      <alignment horizontal="left" wrapText="1"/>
    </xf>
    <xf numFmtId="0" fontId="0" fillId="23" borderId="36" xfId="0" applyFont="1" applyFill="1" applyBorder="1" applyAlignment="1">
      <alignment horizontal="left" vertical="center"/>
    </xf>
    <xf numFmtId="0" fontId="0" fillId="23" borderId="35" xfId="0" applyFont="1" applyFill="1" applyBorder="1" applyAlignment="1">
      <alignment horizontal="left" vertical="center"/>
    </xf>
    <xf numFmtId="0" fontId="0" fillId="23" borderId="39" xfId="0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189" fontId="21" fillId="23" borderId="10" xfId="54" applyNumberFormat="1" applyFont="1" applyFill="1" applyBorder="1" applyAlignment="1">
      <alignment horizontal="center" vertical="center" wrapText="1"/>
    </xf>
    <xf numFmtId="0" fontId="20" fillId="23" borderId="10" xfId="0" applyFont="1" applyFill="1" applyBorder="1" applyAlignment="1">
      <alignment horizontal="center" vertical="center" wrapText="1"/>
    </xf>
    <xf numFmtId="189" fontId="20" fillId="23" borderId="51" xfId="54" applyNumberFormat="1" applyFont="1" applyFill="1" applyBorder="1" applyAlignment="1">
      <alignment horizontal="center" vertical="center" wrapText="1"/>
    </xf>
    <xf numFmtId="0" fontId="0" fillId="31" borderId="30" xfId="0" applyFont="1" applyFill="1" applyBorder="1" applyAlignment="1">
      <alignment horizontal="left" wrapText="1"/>
    </xf>
    <xf numFmtId="0" fontId="0" fillId="31" borderId="35" xfId="0" applyFont="1" applyFill="1" applyBorder="1" applyAlignment="1">
      <alignment horizontal="left" wrapText="1"/>
    </xf>
    <xf numFmtId="0" fontId="0" fillId="31" borderId="39" xfId="0" applyFont="1" applyFill="1" applyBorder="1" applyAlignment="1">
      <alignment horizontal="left" wrapText="1"/>
    </xf>
    <xf numFmtId="0" fontId="21" fillId="23" borderId="52" xfId="0" applyFont="1" applyFill="1" applyBorder="1" applyAlignment="1">
      <alignment horizontal="center" vertical="center" wrapText="1"/>
    </xf>
    <xf numFmtId="0" fontId="21" fillId="23" borderId="53" xfId="0" applyFont="1" applyFill="1" applyBorder="1" applyAlignment="1">
      <alignment horizontal="center" vertical="center" wrapText="1"/>
    </xf>
    <xf numFmtId="0" fontId="21" fillId="23" borderId="54" xfId="0" applyFont="1" applyFill="1" applyBorder="1" applyAlignment="1">
      <alignment horizontal="center" vertical="center" wrapText="1"/>
    </xf>
    <xf numFmtId="0" fontId="27" fillId="23" borderId="10" xfId="0" applyFont="1" applyFill="1" applyBorder="1" applyAlignment="1">
      <alignment horizontal="right" vertical="center"/>
    </xf>
    <xf numFmtId="0" fontId="19" fillId="23" borderId="30" xfId="0" applyFont="1" applyFill="1" applyBorder="1" applyAlignment="1">
      <alignment horizontal="center" vertical="center"/>
    </xf>
    <xf numFmtId="0" fontId="19" fillId="23" borderId="35" xfId="0" applyFont="1" applyFill="1" applyBorder="1" applyAlignment="1">
      <alignment horizontal="center" vertical="center"/>
    </xf>
    <xf numFmtId="0" fontId="19" fillId="23" borderId="39" xfId="0" applyFont="1" applyFill="1" applyBorder="1" applyAlignment="1">
      <alignment horizontal="center" vertical="center"/>
    </xf>
    <xf numFmtId="0" fontId="0" fillId="23" borderId="36" xfId="0" applyFill="1" applyBorder="1" applyAlignment="1">
      <alignment horizontal="left" vertical="center"/>
    </xf>
    <xf numFmtId="0" fontId="0" fillId="23" borderId="35" xfId="0" applyFill="1" applyBorder="1" applyAlignment="1">
      <alignment horizontal="left" vertical="center"/>
    </xf>
    <xf numFmtId="0" fontId="19" fillId="23" borderId="41" xfId="0" applyFont="1" applyFill="1" applyBorder="1" applyAlignment="1">
      <alignment horizontal="center" vertical="center"/>
    </xf>
    <xf numFmtId="0" fontId="19" fillId="23" borderId="42" xfId="0" applyFont="1" applyFill="1" applyBorder="1" applyAlignment="1">
      <alignment horizontal="center" vertical="center"/>
    </xf>
    <xf numFmtId="0" fontId="19" fillId="23" borderId="47" xfId="0" applyFont="1" applyFill="1" applyBorder="1" applyAlignment="1">
      <alignment horizontal="center" vertical="center"/>
    </xf>
    <xf numFmtId="0" fontId="27" fillId="23" borderId="55" xfId="0" applyFont="1" applyFill="1" applyBorder="1" applyAlignment="1">
      <alignment horizontal="right" vertical="center"/>
    </xf>
    <xf numFmtId="0" fontId="27" fillId="23" borderId="42" xfId="0" applyFont="1" applyFill="1" applyBorder="1" applyAlignment="1">
      <alignment horizontal="right" vertical="center"/>
    </xf>
    <xf numFmtId="0" fontId="27" fillId="23" borderId="43" xfId="0" applyFont="1" applyFill="1" applyBorder="1" applyAlignment="1">
      <alignment horizontal="right" vertical="center"/>
    </xf>
    <xf numFmtId="0" fontId="19" fillId="23" borderId="18" xfId="0" applyFont="1" applyFill="1" applyBorder="1" applyAlignment="1">
      <alignment horizontal="center" vertical="center"/>
    </xf>
    <xf numFmtId="0" fontId="19" fillId="23" borderId="19" xfId="0" applyFont="1" applyFill="1" applyBorder="1" applyAlignment="1">
      <alignment horizontal="center" vertical="center"/>
    </xf>
    <xf numFmtId="0" fontId="19" fillId="23" borderId="56" xfId="0" applyFont="1" applyFill="1" applyBorder="1" applyAlignment="1">
      <alignment horizontal="center" vertical="center"/>
    </xf>
    <xf numFmtId="0" fontId="0" fillId="31" borderId="30" xfId="0" applyFill="1" applyBorder="1" applyAlignment="1">
      <alignment horizontal="left" wrapText="1"/>
    </xf>
    <xf numFmtId="0" fontId="0" fillId="31" borderId="35" xfId="0" applyFill="1" applyBorder="1" applyAlignment="1">
      <alignment horizontal="left" wrapText="1"/>
    </xf>
    <xf numFmtId="0" fontId="0" fillId="31" borderId="39" xfId="0" applyFill="1" applyBorder="1" applyAlignment="1">
      <alignment horizontal="left" wrapText="1"/>
    </xf>
    <xf numFmtId="0" fontId="21" fillId="23" borderId="30" xfId="0" applyFont="1" applyFill="1" applyBorder="1" applyAlignment="1">
      <alignment horizontal="center" vertical="center" wrapText="1"/>
    </xf>
    <xf numFmtId="0" fontId="21" fillId="23" borderId="35" xfId="0" applyFont="1" applyFill="1" applyBorder="1" applyAlignment="1">
      <alignment horizontal="center" vertical="center" wrapText="1"/>
    </xf>
    <xf numFmtId="0" fontId="21" fillId="23" borderId="45" xfId="0" applyFont="1" applyFill="1" applyBorder="1" applyAlignment="1">
      <alignment horizontal="center" vertical="center" wrapText="1"/>
    </xf>
    <xf numFmtId="189" fontId="21" fillId="23" borderId="51" xfId="54" applyNumberFormat="1" applyFont="1" applyFill="1" applyBorder="1" applyAlignment="1">
      <alignment horizontal="center" vertical="center" wrapText="1"/>
    </xf>
    <xf numFmtId="189" fontId="21" fillId="23" borderId="34" xfId="54" applyNumberFormat="1" applyFont="1" applyFill="1" applyBorder="1" applyAlignment="1">
      <alignment horizontal="center" vertical="center" wrapText="1"/>
    </xf>
    <xf numFmtId="0" fontId="59" fillId="23" borderId="57" xfId="0" applyFont="1" applyFill="1" applyBorder="1" applyAlignment="1">
      <alignment horizontal="left" vertical="center"/>
    </xf>
    <xf numFmtId="0" fontId="59" fillId="23" borderId="53" xfId="0" applyFont="1" applyFill="1" applyBorder="1" applyAlignment="1">
      <alignment horizontal="left" vertical="center"/>
    </xf>
    <xf numFmtId="189" fontId="20" fillId="23" borderId="10" xfId="54" applyNumberFormat="1" applyFont="1" applyFill="1" applyBorder="1" applyAlignment="1">
      <alignment horizontal="center" vertical="center" wrapText="1"/>
    </xf>
    <xf numFmtId="189" fontId="20" fillId="23" borderId="24" xfId="54" applyNumberFormat="1" applyFont="1" applyFill="1" applyBorder="1" applyAlignment="1">
      <alignment horizontal="center" vertical="center"/>
    </xf>
    <xf numFmtId="189" fontId="20" fillId="23" borderId="34" xfId="54" applyNumberFormat="1" applyFont="1" applyFill="1" applyBorder="1" applyAlignment="1">
      <alignment horizontal="center" vertical="center"/>
    </xf>
    <xf numFmtId="0" fontId="20" fillId="23" borderId="57" xfId="0" applyFont="1" applyFill="1" applyBorder="1" applyAlignment="1">
      <alignment horizontal="left" vertical="center"/>
    </xf>
    <xf numFmtId="0" fontId="20" fillId="23" borderId="53" xfId="0" applyFont="1" applyFill="1" applyBorder="1" applyAlignment="1">
      <alignment horizontal="left" vertical="center"/>
    </xf>
    <xf numFmtId="0" fontId="20" fillId="23" borderId="36" xfId="0" applyFont="1" applyFill="1" applyBorder="1" applyAlignment="1">
      <alignment horizontal="center" vertical="center" wrapText="1"/>
    </xf>
    <xf numFmtId="0" fontId="20" fillId="23" borderId="35" xfId="0" applyFont="1" applyFill="1" applyBorder="1" applyAlignment="1">
      <alignment horizontal="center" vertical="center" wrapText="1"/>
    </xf>
    <xf numFmtId="0" fontId="20" fillId="23" borderId="39" xfId="0" applyFont="1" applyFill="1" applyBorder="1" applyAlignment="1">
      <alignment horizontal="center" vertical="center" wrapText="1"/>
    </xf>
    <xf numFmtId="0" fontId="0" fillId="23" borderId="18" xfId="0" applyFont="1" applyFill="1" applyBorder="1" applyAlignment="1">
      <alignment horizontal="center" vertical="center" wrapText="1"/>
    </xf>
    <xf numFmtId="0" fontId="0" fillId="23" borderId="19" xfId="0" applyFont="1" applyFill="1" applyBorder="1" applyAlignment="1">
      <alignment horizontal="center" vertical="center" wrapText="1"/>
    </xf>
    <xf numFmtId="0" fontId="0" fillId="23" borderId="20" xfId="0" applyFont="1" applyFill="1" applyBorder="1" applyAlignment="1">
      <alignment horizontal="center" vertical="center" wrapText="1"/>
    </xf>
    <xf numFmtId="14" fontId="0" fillId="23" borderId="18" xfId="0" applyNumberFormat="1" applyFont="1" applyFill="1" applyBorder="1" applyAlignment="1">
      <alignment horizontal="center" vertical="center" wrapText="1"/>
    </xf>
    <xf numFmtId="14" fontId="0" fillId="23" borderId="19" xfId="0" applyNumberFormat="1" applyFont="1" applyFill="1" applyBorder="1" applyAlignment="1">
      <alignment horizontal="center" vertical="center" wrapText="1"/>
    </xf>
    <xf numFmtId="14" fontId="0" fillId="23" borderId="56" xfId="0" applyNumberFormat="1" applyFont="1" applyFill="1" applyBorder="1" applyAlignment="1">
      <alignment horizontal="center" vertical="center" wrapText="1"/>
    </xf>
    <xf numFmtId="0" fontId="23" fillId="23" borderId="58" xfId="0" applyFont="1" applyFill="1" applyBorder="1" applyAlignment="1">
      <alignment horizontal="center" vertical="center"/>
    </xf>
    <xf numFmtId="0" fontId="23" fillId="23" borderId="59" xfId="0" applyFont="1" applyFill="1" applyBorder="1" applyAlignment="1">
      <alignment horizontal="center" vertical="center"/>
    </xf>
    <xf numFmtId="0" fontId="20" fillId="23" borderId="55" xfId="0" applyFont="1" applyFill="1" applyBorder="1" applyAlignment="1">
      <alignment horizontal="center" vertical="center" wrapText="1"/>
    </xf>
    <xf numFmtId="0" fontId="20" fillId="23" borderId="42" xfId="0" applyFont="1" applyFill="1" applyBorder="1" applyAlignment="1">
      <alignment horizontal="center" vertical="center" wrapText="1"/>
    </xf>
    <xf numFmtId="3" fontId="0" fillId="23" borderId="30" xfId="0" applyNumberFormat="1" applyFont="1" applyFill="1" applyBorder="1" applyAlignment="1">
      <alignment vertical="center"/>
    </xf>
    <xf numFmtId="3" fontId="0" fillId="23" borderId="35" xfId="0" applyNumberFormat="1" applyFont="1" applyFill="1" applyBorder="1" applyAlignment="1">
      <alignment vertical="center"/>
    </xf>
    <xf numFmtId="3" fontId="0" fillId="23" borderId="39" xfId="0" applyNumberFormat="1" applyFont="1" applyFill="1" applyBorder="1" applyAlignment="1">
      <alignment vertical="center"/>
    </xf>
    <xf numFmtId="0" fontId="31" fillId="23" borderId="41" xfId="0" applyFont="1" applyFill="1" applyBorder="1" applyAlignment="1">
      <alignment horizontal="center" vertical="center" wrapText="1"/>
    </xf>
    <xf numFmtId="0" fontId="31" fillId="23" borderId="42" xfId="0" applyFont="1" applyFill="1" applyBorder="1" applyAlignment="1">
      <alignment horizontal="center" vertical="center" wrapText="1"/>
    </xf>
    <xf numFmtId="0" fontId="31" fillId="23" borderId="43" xfId="0" applyFont="1" applyFill="1" applyBorder="1" applyAlignment="1">
      <alignment horizontal="center" vertical="center" wrapText="1"/>
    </xf>
    <xf numFmtId="0" fontId="31" fillId="23" borderId="31" xfId="0" applyFont="1" applyFill="1" applyBorder="1" applyAlignment="1">
      <alignment horizontal="center" vertical="center" wrapText="1"/>
    </xf>
    <xf numFmtId="0" fontId="31" fillId="23" borderId="0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31" fillId="23" borderId="60" xfId="0" applyFont="1" applyFill="1" applyBorder="1" applyAlignment="1">
      <alignment horizontal="center" vertical="center" wrapText="1"/>
    </xf>
    <xf numFmtId="0" fontId="31" fillId="23" borderId="12" xfId="0" applyFont="1" applyFill="1" applyBorder="1" applyAlignment="1">
      <alignment horizontal="center" vertical="center" wrapText="1"/>
    </xf>
    <xf numFmtId="0" fontId="31" fillId="23" borderId="32" xfId="0" applyFont="1" applyFill="1" applyBorder="1" applyAlignment="1">
      <alignment horizontal="center" vertical="center" wrapText="1"/>
    </xf>
    <xf numFmtId="0" fontId="31" fillId="23" borderId="11" xfId="0" applyFont="1" applyFill="1" applyBorder="1" applyAlignment="1">
      <alignment horizontal="center" vertical="center" wrapText="1"/>
    </xf>
    <xf numFmtId="0" fontId="0" fillId="23" borderId="35" xfId="0" applyFont="1" applyFill="1" applyBorder="1" applyAlignment="1">
      <alignment horizontal="center" vertical="center" wrapText="1"/>
    </xf>
    <xf numFmtId="0" fontId="0" fillId="23" borderId="45" xfId="0" applyFont="1" applyFill="1" applyBorder="1" applyAlignment="1">
      <alignment horizontal="center" vertical="center" wrapText="1"/>
    </xf>
    <xf numFmtId="0" fontId="31" fillId="23" borderId="61" xfId="0" applyFont="1" applyFill="1" applyBorder="1" applyAlignment="1">
      <alignment horizontal="center" vertical="center" wrapText="1"/>
    </xf>
    <xf numFmtId="0" fontId="31" fillId="23" borderId="62" xfId="0" applyFont="1" applyFill="1" applyBorder="1" applyAlignment="1">
      <alignment horizontal="center" vertical="center" wrapText="1"/>
    </xf>
    <xf numFmtId="0" fontId="31" fillId="23" borderId="63" xfId="0" applyFont="1" applyFill="1" applyBorder="1" applyAlignment="1">
      <alignment horizontal="center" vertical="center" wrapText="1"/>
    </xf>
    <xf numFmtId="0" fontId="31" fillId="23" borderId="64" xfId="0" applyFont="1" applyFill="1" applyBorder="1" applyAlignment="1">
      <alignment horizontal="center" vertical="center" wrapText="1"/>
    </xf>
    <xf numFmtId="0" fontId="31" fillId="23" borderId="65" xfId="0" applyFont="1" applyFill="1" applyBorder="1" applyAlignment="1">
      <alignment horizontal="center" vertical="center" wrapText="1"/>
    </xf>
    <xf numFmtId="0" fontId="31" fillId="23" borderId="20" xfId="0" applyFont="1" applyFill="1" applyBorder="1" applyAlignment="1">
      <alignment horizontal="center" vertical="center" wrapText="1"/>
    </xf>
    <xf numFmtId="0" fontId="31" fillId="23" borderId="15" xfId="0" applyFont="1" applyFill="1" applyBorder="1" applyAlignment="1">
      <alignment horizontal="center" vertical="center" wrapText="1"/>
    </xf>
    <xf numFmtId="0" fontId="31" fillId="23" borderId="21" xfId="0" applyFont="1" applyFill="1" applyBorder="1" applyAlignment="1">
      <alignment horizontal="center" vertical="center" wrapText="1"/>
    </xf>
    <xf numFmtId="0" fontId="20" fillId="23" borderId="55" xfId="0" applyFont="1" applyFill="1" applyBorder="1" applyAlignment="1">
      <alignment horizontal="center" vertical="center"/>
    </xf>
    <xf numFmtId="0" fontId="20" fillId="23" borderId="42" xfId="0" applyFont="1" applyFill="1" applyBorder="1" applyAlignment="1">
      <alignment horizontal="center" vertical="center"/>
    </xf>
    <xf numFmtId="0" fontId="20" fillId="23" borderId="43" xfId="0" applyFont="1" applyFill="1" applyBorder="1" applyAlignment="1">
      <alignment horizontal="center" vertical="center"/>
    </xf>
    <xf numFmtId="0" fontId="20" fillId="23" borderId="22" xfId="0" applyFont="1" applyFill="1" applyBorder="1" applyAlignment="1">
      <alignment horizontal="center" vertical="center"/>
    </xf>
    <xf numFmtId="0" fontId="20" fillId="23" borderId="11" xfId="0" applyFont="1" applyFill="1" applyBorder="1" applyAlignment="1">
      <alignment horizontal="center" vertical="center"/>
    </xf>
    <xf numFmtId="0" fontId="20" fillId="23" borderId="26" xfId="0" applyFont="1" applyFill="1" applyBorder="1" applyAlignment="1">
      <alignment horizontal="center" vertical="center"/>
    </xf>
    <xf numFmtId="3" fontId="0" fillId="31" borderId="30" xfId="0" applyNumberFormat="1" applyFont="1" applyFill="1" applyBorder="1" applyAlignment="1">
      <alignment vertical="center"/>
    </xf>
    <xf numFmtId="3" fontId="0" fillId="31" borderId="35" xfId="0" applyNumberFormat="1" applyFont="1" applyFill="1" applyBorder="1" applyAlignment="1">
      <alignment vertical="center"/>
    </xf>
    <xf numFmtId="3" fontId="0" fillId="31" borderId="39" xfId="0" applyNumberFormat="1" applyFont="1" applyFill="1" applyBorder="1" applyAlignment="1">
      <alignment vertical="center"/>
    </xf>
    <xf numFmtId="0" fontId="0" fillId="23" borderId="52" xfId="0" applyFont="1" applyFill="1" applyBorder="1" applyAlignment="1">
      <alignment horizontal="center" vertical="center" wrapText="1"/>
    </xf>
    <xf numFmtId="0" fontId="0" fillId="23" borderId="53" xfId="0" applyFont="1" applyFill="1" applyBorder="1" applyAlignment="1">
      <alignment horizontal="center" vertical="center" wrapText="1"/>
    </xf>
    <xf numFmtId="0" fontId="0" fillId="23" borderId="54" xfId="0" applyFont="1" applyFill="1" applyBorder="1" applyAlignment="1">
      <alignment horizontal="center" vertical="center" wrapText="1"/>
    </xf>
    <xf numFmtId="0" fontId="0" fillId="23" borderId="32" xfId="0" applyFont="1" applyFill="1" applyBorder="1" applyAlignment="1">
      <alignment horizontal="center" vertical="center" wrapText="1"/>
    </xf>
    <xf numFmtId="0" fontId="0" fillId="23" borderId="11" xfId="0" applyFont="1" applyFill="1" applyBorder="1" applyAlignment="1">
      <alignment horizontal="center" vertical="center" wrapText="1"/>
    </xf>
    <xf numFmtId="0" fontId="0" fillId="23" borderId="23" xfId="0" applyFont="1" applyFill="1" applyBorder="1" applyAlignment="1">
      <alignment horizontal="center" vertical="center" wrapText="1"/>
    </xf>
    <xf numFmtId="0" fontId="31" fillId="23" borderId="0" xfId="0" applyFont="1" applyFill="1" applyBorder="1" applyAlignment="1">
      <alignment horizontal="center" vertical="center"/>
    </xf>
    <xf numFmtId="0" fontId="20" fillId="23" borderId="40" xfId="0" applyFont="1" applyFill="1" applyBorder="1" applyAlignment="1">
      <alignment horizontal="center" vertical="center" wrapText="1"/>
    </xf>
    <xf numFmtId="0" fontId="19" fillId="23" borderId="45" xfId="0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vertical="center"/>
    </xf>
    <xf numFmtId="0" fontId="20" fillId="23" borderId="25" xfId="0" applyFont="1" applyFill="1" applyBorder="1" applyAlignment="1">
      <alignment horizontal="left" vertical="center"/>
    </xf>
    <xf numFmtId="0" fontId="20" fillId="23" borderId="16" xfId="0" applyFont="1" applyFill="1" applyBorder="1" applyAlignment="1">
      <alignment horizontal="left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0" fillId="31" borderId="36" xfId="0" applyFont="1" applyFill="1" applyBorder="1" applyAlignment="1">
      <alignment horizontal="left" vertical="center"/>
    </xf>
    <xf numFmtId="0" fontId="0" fillId="31" borderId="35" xfId="0" applyFont="1" applyFill="1" applyBorder="1" applyAlignment="1">
      <alignment horizontal="left" vertical="center"/>
    </xf>
    <xf numFmtId="0" fontId="0" fillId="31" borderId="39" xfId="0" applyFont="1" applyFill="1" applyBorder="1" applyAlignment="1">
      <alignment horizontal="left" vertical="center"/>
    </xf>
    <xf numFmtId="0" fontId="20" fillId="23" borderId="40" xfId="0" applyFont="1" applyFill="1" applyBorder="1" applyAlignment="1">
      <alignment horizontal="left" vertical="center" wrapText="1"/>
    </xf>
    <xf numFmtId="0" fontId="20" fillId="23" borderId="10" xfId="0" applyFont="1" applyFill="1" applyBorder="1" applyAlignment="1">
      <alignment horizontal="left" vertical="center" wrapText="1"/>
    </xf>
    <xf numFmtId="0" fontId="23" fillId="23" borderId="58" xfId="0" applyFont="1" applyFill="1" applyBorder="1" applyAlignment="1">
      <alignment horizontal="left" vertical="center"/>
    </xf>
    <xf numFmtId="0" fontId="23" fillId="23" borderId="59" xfId="0" applyFont="1" applyFill="1" applyBorder="1" applyAlignment="1">
      <alignment horizontal="left" vertical="center"/>
    </xf>
    <xf numFmtId="0" fontId="22" fillId="0" borderId="30" xfId="62" applyFont="1" applyBorder="1" applyAlignment="1">
      <alignment horizontal="center" vertical="center" wrapText="1"/>
      <protection/>
    </xf>
    <xf numFmtId="0" fontId="22" fillId="0" borderId="39" xfId="62" applyFont="1" applyBorder="1" applyAlignment="1">
      <alignment horizontal="center" vertical="center" wrapText="1"/>
      <protection/>
    </xf>
    <xf numFmtId="0" fontId="27" fillId="0" borderId="39" xfId="62" applyFont="1" applyBorder="1" applyAlignment="1">
      <alignment horizontal="center" vertical="center" wrapText="1"/>
      <protection/>
    </xf>
    <xf numFmtId="0" fontId="22" fillId="23" borderId="30" xfId="62" applyFont="1" applyFill="1" applyBorder="1" applyAlignment="1">
      <alignment horizontal="center" vertical="center" wrapText="1"/>
      <protection/>
    </xf>
    <xf numFmtId="0" fontId="22" fillId="23" borderId="39" xfId="62" applyFont="1" applyFill="1" applyBorder="1" applyAlignment="1">
      <alignment horizontal="center" vertical="center" wrapText="1"/>
      <protection/>
    </xf>
    <xf numFmtId="3" fontId="22" fillId="0" borderId="30" xfId="62" applyNumberFormat="1" applyFont="1" applyBorder="1" applyAlignment="1">
      <alignment horizontal="center" vertical="center" wrapText="1"/>
      <protection/>
    </xf>
    <xf numFmtId="3" fontId="22" fillId="0" borderId="39" xfId="62" applyNumberFormat="1" applyFont="1" applyBorder="1" applyAlignment="1">
      <alignment horizontal="center" vertical="center" wrapText="1"/>
      <protection/>
    </xf>
    <xf numFmtId="0" fontId="27" fillId="0" borderId="30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right" vertical="center"/>
    </xf>
    <xf numFmtId="0" fontId="27" fillId="0" borderId="35" xfId="0" applyFont="1" applyFill="1" applyBorder="1" applyAlignment="1">
      <alignment horizontal="right" vertical="center"/>
    </xf>
    <xf numFmtId="0" fontId="27" fillId="0" borderId="39" xfId="0" applyFont="1" applyFill="1" applyBorder="1" applyAlignment="1">
      <alignment horizontal="right" vertical="center"/>
    </xf>
    <xf numFmtId="0" fontId="0" fillId="0" borderId="30" xfId="62" applyBorder="1" applyAlignment="1">
      <alignment horizontal="center" vertical="center" wrapText="1"/>
      <protection/>
    </xf>
    <xf numFmtId="0" fontId="0" fillId="0" borderId="39" xfId="62" applyBorder="1" applyAlignment="1">
      <alignment horizontal="center" vertical="center" wrapText="1"/>
      <protection/>
    </xf>
    <xf numFmtId="0" fontId="22" fillId="0" borderId="24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9" fontId="20" fillId="0" borderId="10" xfId="0" applyNumberFormat="1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left" vertical="center" wrapText="1"/>
    </xf>
    <xf numFmtId="176" fontId="22" fillId="0" borderId="10" xfId="58" applyFont="1" applyFill="1" applyBorder="1" applyAlignment="1">
      <alignment horizontal="center" vertical="center" wrapText="1"/>
    </xf>
    <xf numFmtId="9" fontId="20" fillId="0" borderId="10" xfId="64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44" fontId="20" fillId="0" borderId="24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3" fontId="27" fillId="4" borderId="30" xfId="0" applyNumberFormat="1" applyFont="1" applyFill="1" applyBorder="1" applyAlignment="1">
      <alignment horizontal="center" vertical="center"/>
    </xf>
    <xf numFmtId="3" fontId="27" fillId="4" borderId="39" xfId="0" applyNumberFormat="1" applyFont="1" applyFill="1" applyBorder="1" applyAlignment="1">
      <alignment horizontal="center" vertical="center"/>
    </xf>
    <xf numFmtId="0" fontId="31" fillId="0" borderId="41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/>
    </xf>
    <xf numFmtId="177" fontId="0" fillId="31" borderId="10" xfId="49" applyFont="1" applyFill="1" applyBorder="1" applyAlignment="1">
      <alignment horizontal="right" vertical="center"/>
    </xf>
    <xf numFmtId="177" fontId="0" fillId="31" borderId="10" xfId="49" applyFont="1" applyFill="1" applyBorder="1" applyAlignment="1" applyProtection="1">
      <alignment horizontal="right" vertical="center"/>
      <protection/>
    </xf>
    <xf numFmtId="177" fontId="0" fillId="31" borderId="10" xfId="49" applyFont="1" applyFill="1" applyBorder="1" applyAlignment="1">
      <alignment vertic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_3-SISTEMA DESARROLLO ADMINISTRATIVO-POA 2008-1" xfId="51"/>
    <cellStyle name="Millares_3-SISTEMA DESARROLLO ADMINISTRATIVO-POA 2008-1" xfId="52"/>
    <cellStyle name="Millares_Copia de MATRICES OPERATIVAS PROYECTOS PAT 07-09-AJUSTADAS-2008" xfId="53"/>
    <cellStyle name="Millares_FORMATO POA" xfId="54"/>
    <cellStyle name="Millares_Libro2" xfId="55"/>
    <cellStyle name="Currency" xfId="56"/>
    <cellStyle name="Currency [0]" xfId="57"/>
    <cellStyle name="Moneda 2" xfId="58"/>
    <cellStyle name="Neutral" xfId="59"/>
    <cellStyle name="Nivel 7" xfId="60"/>
    <cellStyle name="Normal 2" xfId="61"/>
    <cellStyle name="Normal 3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1047750</xdr:colOff>
      <xdr:row>3</xdr:row>
      <xdr:rowOff>285750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24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1047750</xdr:colOff>
      <xdr:row>3</xdr:row>
      <xdr:rowOff>285750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24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47625</xdr:rowOff>
    </xdr:from>
    <xdr:to>
      <xdr:col>0</xdr:col>
      <xdr:colOff>1790700</xdr:colOff>
      <xdr:row>3</xdr:row>
      <xdr:rowOff>209550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3430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447675</xdr:colOff>
      <xdr:row>0</xdr:row>
      <xdr:rowOff>47625</xdr:rowOff>
    </xdr:from>
    <xdr:to>
      <xdr:col>4</xdr:col>
      <xdr:colOff>1790700</xdr:colOff>
      <xdr:row>3</xdr:row>
      <xdr:rowOff>209550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3430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0</xdr:col>
      <xdr:colOff>1323975</xdr:colOff>
      <xdr:row>3</xdr:row>
      <xdr:rowOff>257175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133350</xdr:rowOff>
    </xdr:from>
    <xdr:to>
      <xdr:col>2</xdr:col>
      <xdr:colOff>28575</xdr:colOff>
      <xdr:row>3</xdr:row>
      <xdr:rowOff>257175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3335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1"/>
  <sheetViews>
    <sheetView showGridLines="0" zoomScale="80" zoomScaleNormal="80" zoomScalePageLayoutView="0" workbookViewId="0" topLeftCell="A19">
      <selection activeCell="A22" sqref="A22:A23"/>
    </sheetView>
  </sheetViews>
  <sheetFormatPr defaultColWidth="11.421875" defaultRowHeight="12.75"/>
  <cols>
    <col min="1" max="1" width="4.00390625" style="1" customWidth="1"/>
    <col min="2" max="2" width="16.57421875" style="1" customWidth="1"/>
    <col min="3" max="3" width="12.28125" style="1" customWidth="1"/>
    <col min="4" max="4" width="11.28125" style="1" customWidth="1"/>
    <col min="5" max="5" width="9.28125" style="1" customWidth="1"/>
    <col min="6" max="6" width="25.140625" style="1" customWidth="1"/>
    <col min="7" max="7" width="25.28125" style="3" customWidth="1"/>
    <col min="8" max="8" width="22.28125" style="1" customWidth="1"/>
    <col min="9" max="9" width="19.8515625" style="1" customWidth="1"/>
    <col min="10" max="10" width="26.421875" style="1" customWidth="1"/>
    <col min="11" max="11" width="19.8515625" style="2" customWidth="1"/>
    <col min="12" max="21" width="30.7109375" style="1" customWidth="1"/>
    <col min="22" max="22" width="19.421875" style="1" hidden="1" customWidth="1"/>
    <col min="23" max="23" width="25.7109375" style="1" hidden="1" customWidth="1"/>
    <col min="24" max="24" width="21.57421875" style="1" hidden="1" customWidth="1"/>
    <col min="25" max="25" width="13.421875" style="1" bestFit="1" customWidth="1"/>
    <col min="26" max="26" width="19.28125" style="1" customWidth="1"/>
    <col min="27" max="28" width="11.421875" style="1" customWidth="1"/>
    <col min="29" max="16384" width="11.421875" style="1" customWidth="1"/>
  </cols>
  <sheetData>
    <row r="1" spans="1:22" ht="31.5" customHeight="1">
      <c r="A1" s="502"/>
      <c r="B1" s="502"/>
      <c r="C1" s="478" t="s">
        <v>49</v>
      </c>
      <c r="D1" s="479"/>
      <c r="E1" s="479"/>
      <c r="F1" s="479"/>
      <c r="G1" s="479"/>
      <c r="H1" s="479"/>
      <c r="I1" s="479"/>
      <c r="J1" s="480"/>
      <c r="K1" s="472" t="s">
        <v>92</v>
      </c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93"/>
    </row>
    <row r="2" spans="1:22" ht="19.5" customHeight="1">
      <c r="A2" s="502"/>
      <c r="B2" s="502"/>
      <c r="C2" s="481"/>
      <c r="D2" s="482"/>
      <c r="E2" s="482"/>
      <c r="F2" s="482"/>
      <c r="G2" s="482"/>
      <c r="H2" s="482"/>
      <c r="I2" s="482"/>
      <c r="J2" s="483"/>
      <c r="K2" s="473" t="s">
        <v>51</v>
      </c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38"/>
    </row>
    <row r="3" spans="1:22" ht="19.5" customHeight="1">
      <c r="A3" s="502"/>
      <c r="B3" s="502"/>
      <c r="C3" s="478" t="s">
        <v>50</v>
      </c>
      <c r="D3" s="479"/>
      <c r="E3" s="479"/>
      <c r="F3" s="479"/>
      <c r="G3" s="479"/>
      <c r="H3" s="479"/>
      <c r="I3" s="479"/>
      <c r="J3" s="480"/>
      <c r="K3" s="473" t="s">
        <v>52</v>
      </c>
      <c r="L3" s="473"/>
      <c r="M3" s="473"/>
      <c r="N3" s="144"/>
      <c r="O3" s="473" t="s">
        <v>64</v>
      </c>
      <c r="P3" s="473"/>
      <c r="Q3" s="473"/>
      <c r="R3" s="473"/>
      <c r="S3" s="473"/>
      <c r="T3" s="473"/>
      <c r="U3" s="473"/>
      <c r="V3" s="38"/>
    </row>
    <row r="4" spans="1:22" ht="24.75" customHeight="1">
      <c r="A4" s="502"/>
      <c r="B4" s="502"/>
      <c r="C4" s="481"/>
      <c r="D4" s="482"/>
      <c r="E4" s="482"/>
      <c r="F4" s="482"/>
      <c r="G4" s="482"/>
      <c r="H4" s="482"/>
      <c r="I4" s="482"/>
      <c r="J4" s="483"/>
      <c r="K4" s="500" t="s">
        <v>166</v>
      </c>
      <c r="L4" s="501"/>
      <c r="M4" s="501"/>
      <c r="N4" s="145"/>
      <c r="O4" s="475">
        <v>44015</v>
      </c>
      <c r="P4" s="476"/>
      <c r="Q4" s="476"/>
      <c r="R4" s="476"/>
      <c r="S4" s="476"/>
      <c r="T4" s="476"/>
      <c r="U4" s="477"/>
      <c r="V4" s="94"/>
    </row>
    <row r="5" spans="1:22" ht="31.5" customHeight="1">
      <c r="A5" s="457" t="s">
        <v>95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95"/>
    </row>
    <row r="6" spans="1:23" ht="30.75" customHeight="1">
      <c r="A6" s="484" t="s">
        <v>3</v>
      </c>
      <c r="B6" s="484"/>
      <c r="C6" s="484"/>
      <c r="D6" s="506" t="s">
        <v>234</v>
      </c>
      <c r="E6" s="506"/>
      <c r="F6" s="506"/>
      <c r="G6" s="506"/>
      <c r="H6" s="113" t="s">
        <v>0</v>
      </c>
      <c r="I6" s="114" t="s">
        <v>1</v>
      </c>
      <c r="J6" s="103"/>
      <c r="K6" s="126"/>
      <c r="L6" s="499"/>
      <c r="M6" s="499"/>
      <c r="N6" s="90"/>
      <c r="O6" s="90"/>
      <c r="P6" s="90"/>
      <c r="Q6" s="90"/>
      <c r="R6" s="90"/>
      <c r="S6" s="90"/>
      <c r="T6" s="90"/>
      <c r="U6" s="108"/>
      <c r="V6" s="90"/>
      <c r="W6" s="132" t="s">
        <v>112</v>
      </c>
    </row>
    <row r="7" spans="1:23" ht="34.5" customHeight="1">
      <c r="A7" s="474" t="s">
        <v>59</v>
      </c>
      <c r="B7" s="474"/>
      <c r="C7" s="474"/>
      <c r="D7" s="485" t="s">
        <v>235</v>
      </c>
      <c r="E7" s="485"/>
      <c r="F7" s="485"/>
      <c r="G7" s="485"/>
      <c r="H7" s="36" t="s">
        <v>96</v>
      </c>
      <c r="I7" s="162">
        <v>3403443720</v>
      </c>
      <c r="J7" s="104"/>
      <c r="K7" s="127"/>
      <c r="L7" s="492"/>
      <c r="M7" s="492"/>
      <c r="N7" s="35"/>
      <c r="O7" s="35"/>
      <c r="P7" s="35"/>
      <c r="Q7" s="35"/>
      <c r="R7" s="35"/>
      <c r="S7" s="35"/>
      <c r="T7" s="35"/>
      <c r="U7" s="109"/>
      <c r="V7" s="35"/>
      <c r="W7" s="132" t="s">
        <v>113</v>
      </c>
    </row>
    <row r="8" spans="1:23" ht="34.5" customHeight="1">
      <c r="A8" s="474" t="s">
        <v>2</v>
      </c>
      <c r="B8" s="474"/>
      <c r="C8" s="474"/>
      <c r="D8" s="468" t="s">
        <v>236</v>
      </c>
      <c r="E8" s="469"/>
      <c r="F8" s="469"/>
      <c r="G8" s="470"/>
      <c r="H8" s="31" t="s">
        <v>89</v>
      </c>
      <c r="I8" s="102" t="s">
        <v>4</v>
      </c>
      <c r="J8" s="104"/>
      <c r="K8" s="127"/>
      <c r="L8" s="35"/>
      <c r="M8" s="35"/>
      <c r="N8" s="35"/>
      <c r="O8" s="35"/>
      <c r="P8" s="35"/>
      <c r="Q8" s="35"/>
      <c r="R8" s="35"/>
      <c r="S8" s="35"/>
      <c r="T8" s="35"/>
      <c r="U8" s="109"/>
      <c r="V8" s="35"/>
      <c r="W8" s="132" t="s">
        <v>114</v>
      </c>
    </row>
    <row r="9" spans="1:23" ht="33" customHeight="1">
      <c r="A9" s="486" t="s">
        <v>60</v>
      </c>
      <c r="B9" s="487"/>
      <c r="C9" s="488"/>
      <c r="D9" s="493"/>
      <c r="E9" s="494"/>
      <c r="F9" s="494"/>
      <c r="G9" s="495"/>
      <c r="H9" s="31" t="s">
        <v>90</v>
      </c>
      <c r="I9" s="102" t="s">
        <v>4</v>
      </c>
      <c r="J9" s="105"/>
      <c r="K9" s="128"/>
      <c r="L9" s="492"/>
      <c r="M9" s="492"/>
      <c r="N9" s="35"/>
      <c r="O9" s="35"/>
      <c r="P9" s="35"/>
      <c r="Q9" s="35"/>
      <c r="R9" s="35"/>
      <c r="S9" s="35"/>
      <c r="T9" s="35"/>
      <c r="U9" s="109"/>
      <c r="V9" s="35"/>
      <c r="W9" s="132" t="s">
        <v>115</v>
      </c>
    </row>
    <row r="10" spans="1:23" ht="30" customHeight="1">
      <c r="A10" s="489"/>
      <c r="B10" s="490"/>
      <c r="C10" s="491"/>
      <c r="D10" s="496"/>
      <c r="E10" s="497"/>
      <c r="F10" s="497"/>
      <c r="G10" s="498"/>
      <c r="H10" s="31" t="s">
        <v>91</v>
      </c>
      <c r="I10" s="102" t="s">
        <v>4</v>
      </c>
      <c r="J10" s="105"/>
      <c r="K10" s="128"/>
      <c r="L10" s="35"/>
      <c r="M10" s="35"/>
      <c r="N10" s="35"/>
      <c r="O10" s="35"/>
      <c r="P10" s="35"/>
      <c r="Q10" s="35"/>
      <c r="R10" s="35"/>
      <c r="S10" s="35"/>
      <c r="T10" s="35"/>
      <c r="U10" s="109"/>
      <c r="V10" s="35"/>
      <c r="W10" s="132" t="s">
        <v>116</v>
      </c>
    </row>
    <row r="11" spans="1:23" ht="22.5" customHeight="1">
      <c r="A11" s="464" t="s">
        <v>103</v>
      </c>
      <c r="B11" s="464"/>
      <c r="C11" s="464"/>
      <c r="D11" s="464"/>
      <c r="E11" s="464"/>
      <c r="F11" s="464"/>
      <c r="G11" s="465"/>
      <c r="H11" s="110" t="s">
        <v>9</v>
      </c>
      <c r="I11" s="111">
        <f>SUM(I7:I10)</f>
        <v>3403443720</v>
      </c>
      <c r="J11" s="106"/>
      <c r="K11" s="129"/>
      <c r="L11" s="466"/>
      <c r="M11" s="466"/>
      <c r="N11" s="107"/>
      <c r="O11" s="107"/>
      <c r="P11" s="107"/>
      <c r="Q11" s="107"/>
      <c r="R11" s="107"/>
      <c r="S11" s="107"/>
      <c r="T11" s="107"/>
      <c r="U11" s="112"/>
      <c r="V11" s="35"/>
      <c r="W11" s="132" t="s">
        <v>117</v>
      </c>
    </row>
    <row r="12" spans="1:23" ht="22.5" customHeight="1">
      <c r="A12" s="464" t="s">
        <v>102</v>
      </c>
      <c r="B12" s="464"/>
      <c r="C12" s="464"/>
      <c r="D12" s="464"/>
      <c r="E12" s="464"/>
      <c r="F12" s="464"/>
      <c r="G12" s="465"/>
      <c r="H12" s="110" t="s">
        <v>9</v>
      </c>
      <c r="I12" s="111">
        <f>real!G106</f>
        <v>4765071568.452</v>
      </c>
      <c r="J12" s="106"/>
      <c r="K12" s="129"/>
      <c r="L12" s="107"/>
      <c r="M12" s="107"/>
      <c r="N12" s="107"/>
      <c r="O12" s="107"/>
      <c r="P12" s="107"/>
      <c r="Q12" s="107"/>
      <c r="R12" s="107"/>
      <c r="S12" s="107"/>
      <c r="T12" s="107"/>
      <c r="U12" s="112"/>
      <c r="V12" s="35"/>
      <c r="W12" s="132" t="s">
        <v>118</v>
      </c>
    </row>
    <row r="13" spans="1:23" ht="35.25" customHeight="1">
      <c r="A13" s="446" t="s">
        <v>5</v>
      </c>
      <c r="B13" s="449" t="s">
        <v>104</v>
      </c>
      <c r="C13" s="449"/>
      <c r="D13" s="449"/>
      <c r="E13" s="504" t="s">
        <v>5</v>
      </c>
      <c r="F13" s="504" t="s">
        <v>99</v>
      </c>
      <c r="G13" s="449" t="s">
        <v>6</v>
      </c>
      <c r="H13" s="448" t="s">
        <v>242</v>
      </c>
      <c r="I13" s="448"/>
      <c r="J13" s="447" t="s">
        <v>7</v>
      </c>
      <c r="K13" s="447"/>
      <c r="L13" s="471" t="s">
        <v>93</v>
      </c>
      <c r="M13" s="471"/>
      <c r="N13" s="471"/>
      <c r="O13" s="471"/>
      <c r="P13" s="471"/>
      <c r="Q13" s="471"/>
      <c r="R13" s="471"/>
      <c r="S13" s="471"/>
      <c r="T13" s="471"/>
      <c r="U13" s="471"/>
      <c r="V13" s="96"/>
      <c r="W13" s="132" t="s">
        <v>119</v>
      </c>
    </row>
    <row r="14" spans="1:23" ht="31.5" customHeight="1">
      <c r="A14" s="446"/>
      <c r="B14" s="449"/>
      <c r="C14" s="449"/>
      <c r="D14" s="449"/>
      <c r="E14" s="505"/>
      <c r="F14" s="505"/>
      <c r="G14" s="449"/>
      <c r="H14" s="92" t="s">
        <v>8</v>
      </c>
      <c r="I14" s="100" t="s">
        <v>61</v>
      </c>
      <c r="J14" s="92" t="s">
        <v>8</v>
      </c>
      <c r="K14" s="123" t="s">
        <v>61</v>
      </c>
      <c r="L14" s="200" t="s">
        <v>133</v>
      </c>
      <c r="M14" s="200" t="s">
        <v>136</v>
      </c>
      <c r="N14" s="200" t="s">
        <v>142</v>
      </c>
      <c r="O14" s="200" t="s">
        <v>143</v>
      </c>
      <c r="P14" s="200" t="s">
        <v>115</v>
      </c>
      <c r="Q14" s="200" t="s">
        <v>154</v>
      </c>
      <c r="R14" s="200" t="s">
        <v>158</v>
      </c>
      <c r="S14" s="200" t="s">
        <v>162</v>
      </c>
      <c r="T14" s="99" t="s">
        <v>147</v>
      </c>
      <c r="U14" s="99" t="s">
        <v>150</v>
      </c>
      <c r="V14" s="91"/>
      <c r="W14" s="132" t="s">
        <v>120</v>
      </c>
    </row>
    <row r="15" spans="1:34" s="4" customFormat="1" ht="68.25" customHeight="1" thickBot="1">
      <c r="A15" s="437">
        <v>1</v>
      </c>
      <c r="B15" s="434" t="s">
        <v>167</v>
      </c>
      <c r="C15" s="435"/>
      <c r="D15" s="436"/>
      <c r="E15" s="142">
        <v>1</v>
      </c>
      <c r="F15" s="147" t="s">
        <v>168</v>
      </c>
      <c r="G15" s="148" t="s">
        <v>169</v>
      </c>
      <c r="H15" s="149" t="s">
        <v>170</v>
      </c>
      <c r="I15" s="454">
        <v>1</v>
      </c>
      <c r="J15" s="150" t="s">
        <v>171</v>
      </c>
      <c r="K15" s="456" t="s">
        <v>172</v>
      </c>
      <c r="L15" s="151">
        <v>368164497</v>
      </c>
      <c r="M15" s="151">
        <v>0</v>
      </c>
      <c r="N15" s="151">
        <v>0</v>
      </c>
      <c r="O15" s="151">
        <v>0</v>
      </c>
      <c r="P15" s="151">
        <v>0</v>
      </c>
      <c r="Q15" s="151">
        <v>0</v>
      </c>
      <c r="R15" s="151">
        <v>0</v>
      </c>
      <c r="S15" s="151">
        <v>0</v>
      </c>
      <c r="T15" s="151">
        <v>42823578</v>
      </c>
      <c r="U15" s="151">
        <v>0</v>
      </c>
      <c r="V15" s="151">
        <v>0</v>
      </c>
      <c r="W15" s="80"/>
      <c r="X15" s="152" t="s">
        <v>173</v>
      </c>
      <c r="Y15" s="199">
        <f>SUM(L15:U15)</f>
        <v>410988075</v>
      </c>
      <c r="Z15" s="199"/>
      <c r="AA15" s="1"/>
      <c r="AB15" s="1"/>
      <c r="AC15" s="1"/>
      <c r="AD15" s="1"/>
      <c r="AE15" s="1"/>
      <c r="AF15" s="1"/>
      <c r="AG15" s="1"/>
      <c r="AH15" s="1"/>
    </row>
    <row r="16" spans="1:34" s="4" customFormat="1" ht="61.5" customHeight="1" thickBot="1">
      <c r="A16" s="450"/>
      <c r="B16" s="451"/>
      <c r="C16" s="452"/>
      <c r="D16" s="453"/>
      <c r="E16" s="142">
        <v>2</v>
      </c>
      <c r="F16" s="147" t="s">
        <v>174</v>
      </c>
      <c r="G16" s="148" t="s">
        <v>175</v>
      </c>
      <c r="H16" s="149" t="s">
        <v>176</v>
      </c>
      <c r="I16" s="455"/>
      <c r="J16" s="150" t="s">
        <v>177</v>
      </c>
      <c r="K16" s="456"/>
      <c r="L16" s="205">
        <v>36019841</v>
      </c>
      <c r="M16" s="204">
        <v>271608070</v>
      </c>
      <c r="N16" s="151">
        <v>0</v>
      </c>
      <c r="O16" s="151">
        <f>26852000</f>
        <v>26852000</v>
      </c>
      <c r="P16" s="151">
        <v>0</v>
      </c>
      <c r="Q16" s="151">
        <v>0</v>
      </c>
      <c r="R16" s="151">
        <v>0</v>
      </c>
      <c r="S16" s="151">
        <v>0</v>
      </c>
      <c r="T16" s="151">
        <v>0</v>
      </c>
      <c r="U16" s="151">
        <v>0</v>
      </c>
      <c r="V16" s="151">
        <v>0</v>
      </c>
      <c r="W16" s="80"/>
      <c r="X16" s="153" t="s">
        <v>178</v>
      </c>
      <c r="Y16" s="199">
        <f>SUM(L16:U16)</f>
        <v>334479911</v>
      </c>
      <c r="Z16" s="199"/>
      <c r="AA16" s="1"/>
      <c r="AB16" s="1"/>
      <c r="AC16" s="1"/>
      <c r="AD16" s="1"/>
      <c r="AE16" s="1"/>
      <c r="AF16" s="1"/>
      <c r="AG16" s="1"/>
      <c r="AH16" s="1"/>
    </row>
    <row r="17" spans="1:34" s="4" customFormat="1" ht="84" customHeight="1" thickBot="1">
      <c r="A17" s="450"/>
      <c r="B17" s="451"/>
      <c r="C17" s="452"/>
      <c r="D17" s="453"/>
      <c r="E17" s="142">
        <v>3</v>
      </c>
      <c r="F17" s="147" t="s">
        <v>179</v>
      </c>
      <c r="G17" s="148" t="s">
        <v>175</v>
      </c>
      <c r="H17" s="149" t="s">
        <v>180</v>
      </c>
      <c r="I17" s="455"/>
      <c r="J17" s="150" t="s">
        <v>181</v>
      </c>
      <c r="K17" s="456"/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1">
        <v>0</v>
      </c>
      <c r="R17" s="151">
        <v>0</v>
      </c>
      <c r="S17" s="151">
        <v>0</v>
      </c>
      <c r="T17" s="151">
        <v>0</v>
      </c>
      <c r="U17" s="151">
        <v>0</v>
      </c>
      <c r="V17" s="151">
        <v>0</v>
      </c>
      <c r="W17" s="80"/>
      <c r="X17" s="153"/>
      <c r="Y17" s="199">
        <f aca="true" t="shared" si="0" ref="Y17:Y71">SUM(L17:U17)</f>
        <v>0</v>
      </c>
      <c r="Z17" s="1"/>
      <c r="AA17" s="1"/>
      <c r="AB17" s="1"/>
      <c r="AC17" s="1"/>
      <c r="AD17" s="1"/>
      <c r="AE17" s="1"/>
      <c r="AF17" s="1"/>
      <c r="AG17" s="1"/>
      <c r="AH17" s="1"/>
    </row>
    <row r="18" spans="1:34" s="4" customFormat="1" ht="93" customHeight="1" thickBot="1">
      <c r="A18" s="450"/>
      <c r="B18" s="451"/>
      <c r="C18" s="452"/>
      <c r="D18" s="453"/>
      <c r="E18" s="142">
        <v>4</v>
      </c>
      <c r="F18" s="147" t="s">
        <v>182</v>
      </c>
      <c r="G18" s="148" t="s">
        <v>175</v>
      </c>
      <c r="H18" s="149" t="s">
        <v>183</v>
      </c>
      <c r="I18" s="455"/>
      <c r="J18" s="150" t="s">
        <v>181</v>
      </c>
      <c r="K18" s="456"/>
      <c r="L18" s="151">
        <v>0</v>
      </c>
      <c r="M18" s="151">
        <v>0</v>
      </c>
      <c r="N18" s="151">
        <v>0</v>
      </c>
      <c r="O18" s="151">
        <v>0</v>
      </c>
      <c r="P18" s="151">
        <v>0</v>
      </c>
      <c r="Q18" s="151">
        <v>0</v>
      </c>
      <c r="R18" s="151">
        <v>0</v>
      </c>
      <c r="S18" s="151">
        <v>0</v>
      </c>
      <c r="T18" s="151">
        <v>0</v>
      </c>
      <c r="U18" s="151">
        <v>0</v>
      </c>
      <c r="V18" s="151">
        <v>0</v>
      </c>
      <c r="W18" s="80"/>
      <c r="X18" s="153"/>
      <c r="Y18" s="199">
        <f t="shared" si="0"/>
        <v>0</v>
      </c>
      <c r="Z18" s="1"/>
      <c r="AA18" s="1"/>
      <c r="AB18" s="1"/>
      <c r="AC18" s="1"/>
      <c r="AD18" s="1"/>
      <c r="AE18" s="1"/>
      <c r="AF18" s="1"/>
      <c r="AG18" s="1"/>
      <c r="AH18" s="1"/>
    </row>
    <row r="19" spans="1:34" s="4" customFormat="1" ht="59.25" customHeight="1" thickBot="1">
      <c r="A19" s="450"/>
      <c r="B19" s="451"/>
      <c r="C19" s="452"/>
      <c r="D19" s="453"/>
      <c r="E19" s="142">
        <v>5</v>
      </c>
      <c r="F19" s="147" t="s">
        <v>184</v>
      </c>
      <c r="G19" s="148" t="s">
        <v>185</v>
      </c>
      <c r="H19" s="154" t="s">
        <v>186</v>
      </c>
      <c r="I19" s="455"/>
      <c r="J19" s="150" t="s">
        <v>187</v>
      </c>
      <c r="K19" s="456"/>
      <c r="L19" s="151">
        <v>0</v>
      </c>
      <c r="M19" s="151">
        <f>520000000</f>
        <v>520000000</v>
      </c>
      <c r="N19" s="151">
        <v>0</v>
      </c>
      <c r="O19" s="151">
        <v>0</v>
      </c>
      <c r="P19" s="151">
        <v>0</v>
      </c>
      <c r="Q19" s="151">
        <v>0</v>
      </c>
      <c r="R19" s="151">
        <v>0</v>
      </c>
      <c r="S19" s="151">
        <v>0</v>
      </c>
      <c r="T19" s="151">
        <v>53853707</v>
      </c>
      <c r="U19" s="151">
        <v>0</v>
      </c>
      <c r="V19" s="151">
        <v>0</v>
      </c>
      <c r="W19" s="80"/>
      <c r="X19" s="153" t="s">
        <v>188</v>
      </c>
      <c r="Y19" s="199">
        <f t="shared" si="0"/>
        <v>573853707</v>
      </c>
      <c r="Z19" s="199"/>
      <c r="AA19" s="1"/>
      <c r="AB19" s="1"/>
      <c r="AC19" s="1"/>
      <c r="AD19" s="1"/>
      <c r="AE19" s="1"/>
      <c r="AF19" s="1"/>
      <c r="AG19" s="1"/>
      <c r="AH19" s="1"/>
    </row>
    <row r="20" spans="1:34" s="4" customFormat="1" ht="63" customHeight="1" thickBot="1">
      <c r="A20" s="458">
        <v>2</v>
      </c>
      <c r="B20" s="459" t="s">
        <v>189</v>
      </c>
      <c r="C20" s="459"/>
      <c r="D20" s="459"/>
      <c r="E20" s="142">
        <v>1</v>
      </c>
      <c r="F20" s="147" t="s">
        <v>190</v>
      </c>
      <c r="G20" s="148" t="s">
        <v>169</v>
      </c>
      <c r="H20" s="149" t="s">
        <v>191</v>
      </c>
      <c r="I20" s="455">
        <v>1</v>
      </c>
      <c r="J20" s="150" t="s">
        <v>192</v>
      </c>
      <c r="K20" s="456" t="s">
        <v>193</v>
      </c>
      <c r="L20" s="151">
        <v>0</v>
      </c>
      <c r="M20" s="151">
        <v>0</v>
      </c>
      <c r="N20" s="151">
        <v>0</v>
      </c>
      <c r="O20" s="151">
        <v>0</v>
      </c>
      <c r="P20" s="151">
        <v>0</v>
      </c>
      <c r="Q20" s="151">
        <v>0</v>
      </c>
      <c r="R20" s="151">
        <v>0</v>
      </c>
      <c r="S20" s="151">
        <v>0</v>
      </c>
      <c r="T20" s="151">
        <v>0</v>
      </c>
      <c r="U20" s="151">
        <v>0</v>
      </c>
      <c r="V20" s="151">
        <v>0</v>
      </c>
      <c r="W20" s="80"/>
      <c r="X20" s="153"/>
      <c r="Y20" s="199">
        <f t="shared" si="0"/>
        <v>0</v>
      </c>
      <c r="Z20" s="1"/>
      <c r="AA20" s="1"/>
      <c r="AB20" s="1"/>
      <c r="AC20" s="1"/>
      <c r="AD20" s="1"/>
      <c r="AE20" s="1"/>
      <c r="AF20" s="1"/>
      <c r="AG20" s="1"/>
      <c r="AH20" s="1"/>
    </row>
    <row r="21" spans="1:34" s="4" customFormat="1" ht="74.25" customHeight="1" thickBot="1">
      <c r="A21" s="458"/>
      <c r="B21" s="459"/>
      <c r="C21" s="459"/>
      <c r="D21" s="459"/>
      <c r="E21" s="142">
        <v>2</v>
      </c>
      <c r="F21" s="147" t="s">
        <v>194</v>
      </c>
      <c r="G21" s="148" t="s">
        <v>195</v>
      </c>
      <c r="H21" s="149" t="s">
        <v>196</v>
      </c>
      <c r="I21" s="460"/>
      <c r="J21" s="150" t="s">
        <v>197</v>
      </c>
      <c r="K21" s="456"/>
      <c r="L21" s="151">
        <v>0</v>
      </c>
      <c r="M21" s="151">
        <v>0</v>
      </c>
      <c r="N21" s="151">
        <v>0</v>
      </c>
      <c r="O21" s="151">
        <v>0</v>
      </c>
      <c r="P21" s="151">
        <v>0</v>
      </c>
      <c r="Q21" s="151">
        <v>0</v>
      </c>
      <c r="R21" s="151">
        <v>0</v>
      </c>
      <c r="S21" s="151">
        <v>0</v>
      </c>
      <c r="T21" s="151">
        <v>0</v>
      </c>
      <c r="U21" s="151">
        <v>0</v>
      </c>
      <c r="V21" s="151">
        <v>0</v>
      </c>
      <c r="W21" s="1"/>
      <c r="X21" s="153" t="s">
        <v>198</v>
      </c>
      <c r="Y21" s="199">
        <f t="shared" si="0"/>
        <v>0</v>
      </c>
      <c r="Z21" s="1"/>
      <c r="AA21" s="1"/>
      <c r="AB21" s="1"/>
      <c r="AC21" s="1"/>
      <c r="AD21" s="1"/>
      <c r="AE21" s="1"/>
      <c r="AF21" s="1"/>
      <c r="AG21" s="1"/>
      <c r="AH21" s="1"/>
    </row>
    <row r="22" spans="1:34" s="4" customFormat="1" ht="64.5" customHeight="1" thickBot="1">
      <c r="A22" s="437">
        <v>3</v>
      </c>
      <c r="B22" s="434" t="s">
        <v>199</v>
      </c>
      <c r="C22" s="435"/>
      <c r="D22" s="436"/>
      <c r="E22" s="142">
        <v>1</v>
      </c>
      <c r="F22" s="147" t="s">
        <v>200</v>
      </c>
      <c r="G22" s="148" t="s">
        <v>201</v>
      </c>
      <c r="H22" s="154" t="s">
        <v>202</v>
      </c>
      <c r="I22" s="430">
        <v>0.05</v>
      </c>
      <c r="J22" s="150" t="s">
        <v>203</v>
      </c>
      <c r="K22" s="432" t="s">
        <v>204</v>
      </c>
      <c r="L22" s="151">
        <v>0</v>
      </c>
      <c r="M22" s="151">
        <v>0</v>
      </c>
      <c r="N22" s="151">
        <v>0</v>
      </c>
      <c r="O22" s="151">
        <v>0</v>
      </c>
      <c r="P22" s="151">
        <v>0</v>
      </c>
      <c r="Q22" s="151">
        <v>0</v>
      </c>
      <c r="R22" s="151">
        <v>0</v>
      </c>
      <c r="S22" s="151">
        <v>0</v>
      </c>
      <c r="T22" s="151">
        <v>40544532</v>
      </c>
      <c r="U22" s="151">
        <v>0</v>
      </c>
      <c r="V22" s="151">
        <v>0</v>
      </c>
      <c r="W22" s="1"/>
      <c r="X22" s="153"/>
      <c r="Y22" s="199">
        <f t="shared" si="0"/>
        <v>40544532</v>
      </c>
      <c r="Z22" s="199"/>
      <c r="AA22" s="1"/>
      <c r="AB22" s="1"/>
      <c r="AC22" s="1"/>
      <c r="AD22" s="1"/>
      <c r="AE22" s="1"/>
      <c r="AF22" s="1"/>
      <c r="AG22" s="1"/>
      <c r="AH22" s="1"/>
    </row>
    <row r="23" spans="1:34" s="4" customFormat="1" ht="66.75" customHeight="1" thickBot="1">
      <c r="A23" s="438"/>
      <c r="B23" s="439"/>
      <c r="C23" s="440"/>
      <c r="D23" s="441"/>
      <c r="E23" s="142">
        <v>2</v>
      </c>
      <c r="F23" s="147" t="s">
        <v>205</v>
      </c>
      <c r="G23" s="148" t="s">
        <v>201</v>
      </c>
      <c r="H23" s="149" t="s">
        <v>206</v>
      </c>
      <c r="I23" s="431"/>
      <c r="J23" s="150" t="s">
        <v>207</v>
      </c>
      <c r="K23" s="433"/>
      <c r="L23" s="151">
        <v>0</v>
      </c>
      <c r="M23" s="151">
        <v>1170394853</v>
      </c>
      <c r="N23" s="151">
        <v>0</v>
      </c>
      <c r="O23" s="151">
        <v>0</v>
      </c>
      <c r="P23" s="151">
        <v>0</v>
      </c>
      <c r="Q23" s="151">
        <v>114605368.9</v>
      </c>
      <c r="R23" s="151">
        <v>54684940.1</v>
      </c>
      <c r="S23" s="151">
        <v>41223151.5</v>
      </c>
      <c r="T23" s="151">
        <v>0</v>
      </c>
      <c r="U23" s="151">
        <v>125091686</v>
      </c>
      <c r="V23" s="151">
        <v>0</v>
      </c>
      <c r="W23" s="1"/>
      <c r="X23" s="153"/>
      <c r="Y23" s="199">
        <f t="shared" si="0"/>
        <v>1505999999.5</v>
      </c>
      <c r="Z23" s="199"/>
      <c r="AA23" s="1"/>
      <c r="AB23" s="1"/>
      <c r="AC23" s="1"/>
      <c r="AD23" s="1"/>
      <c r="AE23" s="1"/>
      <c r="AF23" s="1"/>
      <c r="AG23" s="1"/>
      <c r="AH23" s="1"/>
    </row>
    <row r="24" spans="1:34" s="4" customFormat="1" ht="72.75" customHeight="1" thickBot="1">
      <c r="A24" s="156">
        <v>4</v>
      </c>
      <c r="B24" s="434" t="s">
        <v>208</v>
      </c>
      <c r="C24" s="435"/>
      <c r="D24" s="436"/>
      <c r="E24" s="142">
        <v>1</v>
      </c>
      <c r="F24" s="147" t="s">
        <v>209</v>
      </c>
      <c r="G24" s="148" t="s">
        <v>169</v>
      </c>
      <c r="H24" s="149" t="s">
        <v>210</v>
      </c>
      <c r="I24" s="155">
        <v>1</v>
      </c>
      <c r="J24" s="150" t="s">
        <v>211</v>
      </c>
      <c r="K24" s="157" t="s">
        <v>212</v>
      </c>
      <c r="L24" s="151">
        <v>0</v>
      </c>
      <c r="M24" s="151">
        <v>2000000</v>
      </c>
      <c r="N24" s="151">
        <v>0</v>
      </c>
      <c r="O24" s="151">
        <v>0</v>
      </c>
      <c r="P24" s="151">
        <v>0</v>
      </c>
      <c r="Q24" s="151">
        <v>0</v>
      </c>
      <c r="R24" s="151">
        <v>0</v>
      </c>
      <c r="S24" s="151">
        <v>0</v>
      </c>
      <c r="T24" s="151">
        <v>0</v>
      </c>
      <c r="U24" s="151">
        <v>0</v>
      </c>
      <c r="V24" s="151">
        <v>0</v>
      </c>
      <c r="W24" s="1"/>
      <c r="X24" s="153"/>
      <c r="Y24" s="199">
        <f t="shared" si="0"/>
        <v>2000000</v>
      </c>
      <c r="Z24" s="199"/>
      <c r="AA24" s="1"/>
      <c r="AB24" s="1"/>
      <c r="AC24" s="1"/>
      <c r="AD24" s="1"/>
      <c r="AE24" s="1"/>
      <c r="AF24" s="1"/>
      <c r="AG24" s="1"/>
      <c r="AH24" s="1"/>
    </row>
    <row r="25" spans="1:34" s="4" customFormat="1" ht="71.25" customHeight="1" thickBot="1">
      <c r="A25" s="437">
        <v>5</v>
      </c>
      <c r="B25" s="434" t="s">
        <v>213</v>
      </c>
      <c r="C25" s="435"/>
      <c r="D25" s="436"/>
      <c r="E25" s="142">
        <v>1</v>
      </c>
      <c r="F25" s="147" t="s">
        <v>214</v>
      </c>
      <c r="G25" s="148" t="s">
        <v>169</v>
      </c>
      <c r="H25" s="149" t="s">
        <v>215</v>
      </c>
      <c r="I25" s="442">
        <v>1</v>
      </c>
      <c r="J25" s="150" t="s">
        <v>216</v>
      </c>
      <c r="K25" s="444" t="s">
        <v>217</v>
      </c>
      <c r="L25" s="151">
        <v>0</v>
      </c>
      <c r="M25" s="151"/>
      <c r="N25" s="151">
        <v>0</v>
      </c>
      <c r="O25" s="151">
        <v>0</v>
      </c>
      <c r="P25" s="151">
        <v>0</v>
      </c>
      <c r="Q25" s="151">
        <v>0</v>
      </c>
      <c r="R25" s="151">
        <v>0</v>
      </c>
      <c r="S25" s="151">
        <v>0</v>
      </c>
      <c r="T25" s="151">
        <v>0</v>
      </c>
      <c r="U25" s="151"/>
      <c r="V25" s="151">
        <v>0</v>
      </c>
      <c r="W25" s="1"/>
      <c r="X25" s="153"/>
      <c r="Y25" s="199">
        <f t="shared" si="0"/>
        <v>0</v>
      </c>
      <c r="Z25" s="1"/>
      <c r="AA25" s="1"/>
      <c r="AB25" s="1"/>
      <c r="AC25" s="1"/>
      <c r="AD25" s="1"/>
      <c r="AE25" s="1"/>
      <c r="AF25" s="1"/>
      <c r="AG25" s="1"/>
      <c r="AH25" s="1"/>
    </row>
    <row r="26" spans="1:34" s="4" customFormat="1" ht="68.25" customHeight="1" thickBot="1">
      <c r="A26" s="438"/>
      <c r="B26" s="439"/>
      <c r="C26" s="440"/>
      <c r="D26" s="441"/>
      <c r="E26" s="142">
        <v>2</v>
      </c>
      <c r="F26" s="147" t="s">
        <v>218</v>
      </c>
      <c r="G26" s="148" t="s">
        <v>175</v>
      </c>
      <c r="H26" s="149" t="s">
        <v>219</v>
      </c>
      <c r="I26" s="443"/>
      <c r="J26" s="150" t="s">
        <v>216</v>
      </c>
      <c r="K26" s="445"/>
      <c r="L26" s="151">
        <v>0</v>
      </c>
      <c r="M26" s="151"/>
      <c r="N26" s="151">
        <v>0</v>
      </c>
      <c r="O26" s="151">
        <v>0</v>
      </c>
      <c r="P26" s="151">
        <v>0</v>
      </c>
      <c r="Q26" s="151">
        <v>0</v>
      </c>
      <c r="R26" s="151">
        <v>0</v>
      </c>
      <c r="S26" s="151">
        <v>0</v>
      </c>
      <c r="T26" s="151">
        <v>0</v>
      </c>
      <c r="U26" s="151">
        <v>0</v>
      </c>
      <c r="V26" s="151">
        <v>0</v>
      </c>
      <c r="W26" s="1"/>
      <c r="X26" s="153" t="s">
        <v>220</v>
      </c>
      <c r="Y26" s="199">
        <f t="shared" si="0"/>
        <v>0</v>
      </c>
      <c r="Z26" s="1"/>
      <c r="AA26" s="1"/>
      <c r="AB26" s="1"/>
      <c r="AC26" s="1"/>
      <c r="AD26" s="1"/>
      <c r="AE26" s="1"/>
      <c r="AF26" s="1"/>
      <c r="AG26" s="1"/>
      <c r="AH26" s="1"/>
    </row>
    <row r="27" spans="1:34" s="4" customFormat="1" ht="66.75" customHeight="1" thickBot="1">
      <c r="A27" s="142">
        <v>6</v>
      </c>
      <c r="B27" s="415" t="s">
        <v>221</v>
      </c>
      <c r="C27" s="415"/>
      <c r="D27" s="415"/>
      <c r="E27" s="142">
        <v>1</v>
      </c>
      <c r="F27" s="147" t="s">
        <v>222</v>
      </c>
      <c r="G27" s="148" t="s">
        <v>169</v>
      </c>
      <c r="H27" s="149" t="s">
        <v>223</v>
      </c>
      <c r="I27" s="158">
        <v>1</v>
      </c>
      <c r="J27" s="150" t="s">
        <v>224</v>
      </c>
      <c r="K27" s="159" t="s">
        <v>225</v>
      </c>
      <c r="L27" s="151">
        <v>0</v>
      </c>
      <c r="M27" s="151">
        <f>106572600+106572600</f>
        <v>213145200</v>
      </c>
      <c r="N27" s="151">
        <v>0</v>
      </c>
      <c r="O27" s="151">
        <v>0</v>
      </c>
      <c r="P27" s="151">
        <v>22669920</v>
      </c>
      <c r="Q27" s="151">
        <v>0</v>
      </c>
      <c r="R27" s="151">
        <v>0</v>
      </c>
      <c r="S27" s="151">
        <v>0</v>
      </c>
      <c r="T27" s="151">
        <v>44462880</v>
      </c>
      <c r="U27" s="151">
        <v>121322000</v>
      </c>
      <c r="V27" s="151">
        <f>33566400+33566400</f>
        <v>67132800</v>
      </c>
      <c r="W27" s="1"/>
      <c r="X27" s="160" t="s">
        <v>226</v>
      </c>
      <c r="Y27" s="199">
        <f t="shared" si="0"/>
        <v>401600000</v>
      </c>
      <c r="Z27" s="199"/>
      <c r="AA27" s="1"/>
      <c r="AB27" s="1"/>
      <c r="AC27" s="1"/>
      <c r="AD27" s="1"/>
      <c r="AE27" s="1"/>
      <c r="AF27" s="1"/>
      <c r="AG27" s="1"/>
      <c r="AH27" s="1"/>
    </row>
    <row r="28" spans="1:34" s="4" customFormat="1" ht="77.25" customHeight="1" thickBot="1">
      <c r="A28" s="142">
        <v>7</v>
      </c>
      <c r="B28" s="415" t="s">
        <v>227</v>
      </c>
      <c r="C28" s="415"/>
      <c r="D28" s="415"/>
      <c r="E28" s="142">
        <v>1</v>
      </c>
      <c r="F28" s="147" t="s">
        <v>228</v>
      </c>
      <c r="G28" s="148" t="s">
        <v>229</v>
      </c>
      <c r="H28" s="154" t="s">
        <v>230</v>
      </c>
      <c r="I28" s="161">
        <v>0.09</v>
      </c>
      <c r="J28" s="150" t="s">
        <v>231</v>
      </c>
      <c r="K28" s="159" t="s">
        <v>232</v>
      </c>
      <c r="L28" s="151">
        <v>0</v>
      </c>
      <c r="M28" s="151">
        <v>0</v>
      </c>
      <c r="N28" s="151">
        <v>619368.02</v>
      </c>
      <c r="O28" s="143"/>
      <c r="P28" s="151">
        <v>0</v>
      </c>
      <c r="Q28" s="151">
        <v>0</v>
      </c>
      <c r="R28" s="151">
        <v>0</v>
      </c>
      <c r="S28" s="151">
        <v>0</v>
      </c>
      <c r="T28" s="151">
        <v>28037303</v>
      </c>
      <c r="U28" s="151">
        <v>105320824</v>
      </c>
      <c r="V28" s="13"/>
      <c r="W28" s="13"/>
      <c r="X28" s="153" t="s">
        <v>220</v>
      </c>
      <c r="Y28" s="199">
        <f t="shared" si="0"/>
        <v>133977495.02</v>
      </c>
      <c r="Z28" s="199"/>
      <c r="AA28" s="1"/>
      <c r="AB28" s="1"/>
      <c r="AC28" s="1"/>
      <c r="AD28" s="1"/>
      <c r="AE28" s="1"/>
      <c r="AF28" s="1"/>
      <c r="AG28" s="1"/>
      <c r="AH28" s="1"/>
    </row>
    <row r="29" spans="1:25" s="4" customFormat="1" ht="23.25" customHeight="1">
      <c r="A29" s="416" t="s">
        <v>100</v>
      </c>
      <c r="B29" s="417"/>
      <c r="C29" s="417"/>
      <c r="D29" s="417"/>
      <c r="E29" s="417"/>
      <c r="F29" s="417"/>
      <c r="G29" s="417"/>
      <c r="H29" s="417"/>
      <c r="I29" s="417"/>
      <c r="J29" s="417"/>
      <c r="K29" s="418"/>
      <c r="L29" s="101">
        <f aca="true" t="shared" si="1" ref="L29:U29">SUM(L15:L28)</f>
        <v>404184338</v>
      </c>
      <c r="M29" s="101">
        <f t="shared" si="1"/>
        <v>2177148123</v>
      </c>
      <c r="N29" s="101">
        <f t="shared" si="1"/>
        <v>619368.02</v>
      </c>
      <c r="O29" s="101">
        <f t="shared" si="1"/>
        <v>26852000</v>
      </c>
      <c r="P29" s="101">
        <f t="shared" si="1"/>
        <v>22669920</v>
      </c>
      <c r="Q29" s="101">
        <f t="shared" si="1"/>
        <v>114605368.9</v>
      </c>
      <c r="R29" s="101">
        <f t="shared" si="1"/>
        <v>54684940.1</v>
      </c>
      <c r="S29" s="101">
        <f t="shared" si="1"/>
        <v>41223151.5</v>
      </c>
      <c r="T29" s="101">
        <f t="shared" si="1"/>
        <v>209722000</v>
      </c>
      <c r="U29" s="101">
        <f t="shared" si="1"/>
        <v>351734510</v>
      </c>
      <c r="V29" s="1"/>
      <c r="W29" s="132" t="s">
        <v>121</v>
      </c>
      <c r="Y29" s="199">
        <f t="shared" si="0"/>
        <v>3403443719.52</v>
      </c>
    </row>
    <row r="30" spans="1:25" s="4" customFormat="1" ht="23.25" customHeight="1">
      <c r="A30" s="416" t="s">
        <v>233</v>
      </c>
      <c r="B30" s="417"/>
      <c r="C30" s="417"/>
      <c r="D30" s="417"/>
      <c r="E30" s="417"/>
      <c r="F30" s="417"/>
      <c r="G30" s="417"/>
      <c r="H30" s="417"/>
      <c r="I30" s="417"/>
      <c r="J30" s="417"/>
      <c r="K30" s="418"/>
      <c r="L30" s="419">
        <f>SUM(L29:U29)</f>
        <v>3403443719.52</v>
      </c>
      <c r="M30" s="419"/>
      <c r="N30" s="419"/>
      <c r="O30" s="419"/>
      <c r="P30" s="419"/>
      <c r="Q30" s="419"/>
      <c r="R30" s="419"/>
      <c r="S30" s="419"/>
      <c r="T30" s="419"/>
      <c r="U30" s="420"/>
      <c r="V30" s="1"/>
      <c r="W30" s="133" t="s">
        <v>122</v>
      </c>
      <c r="Y30" s="199">
        <f t="shared" si="0"/>
        <v>3403443719.52</v>
      </c>
    </row>
    <row r="31" spans="1:25" s="4" customFormat="1" ht="23.25" customHeight="1">
      <c r="A31" s="428" t="s">
        <v>83</v>
      </c>
      <c r="B31" s="428"/>
      <c r="C31" s="428" t="s">
        <v>63</v>
      </c>
      <c r="D31" s="428"/>
      <c r="E31" s="428"/>
      <c r="F31" s="428"/>
      <c r="G31" s="428"/>
      <c r="H31" s="428"/>
      <c r="I31" s="119" t="s">
        <v>13</v>
      </c>
      <c r="J31" s="117"/>
      <c r="K31" s="97"/>
      <c r="L31" s="34"/>
      <c r="M31" s="34"/>
      <c r="N31" s="1"/>
      <c r="O31" s="1"/>
      <c r="P31" s="1"/>
      <c r="Q31" s="1"/>
      <c r="R31" s="1"/>
      <c r="S31" s="1"/>
      <c r="T31" s="1"/>
      <c r="U31" s="1"/>
      <c r="V31" s="1"/>
      <c r="W31" s="133" t="s">
        <v>123</v>
      </c>
      <c r="Y31" s="199">
        <f t="shared" si="0"/>
        <v>0</v>
      </c>
    </row>
    <row r="32" spans="1:25" s="4" customFormat="1" ht="23.25" customHeight="1">
      <c r="A32" s="448">
        <v>0</v>
      </c>
      <c r="B32" s="428"/>
      <c r="C32" s="468" t="s">
        <v>237</v>
      </c>
      <c r="D32" s="469"/>
      <c r="E32" s="469"/>
      <c r="F32" s="469"/>
      <c r="G32" s="469"/>
      <c r="H32" s="470"/>
      <c r="I32" s="163">
        <v>44013</v>
      </c>
      <c r="J32" s="118"/>
      <c r="K32" s="125"/>
      <c r="L32" s="34"/>
      <c r="M32" s="34"/>
      <c r="O32" s="202"/>
      <c r="Q32" s="202"/>
      <c r="T32" s="202"/>
      <c r="U32" s="202"/>
      <c r="V32" s="201"/>
      <c r="W32" s="198">
        <v>351734510</v>
      </c>
      <c r="Y32" s="199">
        <f t="shared" si="0"/>
        <v>0</v>
      </c>
    </row>
    <row r="33" spans="1:25" s="4" customFormat="1" ht="23.25" customHeight="1">
      <c r="A33" s="448"/>
      <c r="B33" s="428"/>
      <c r="C33" s="461"/>
      <c r="D33" s="462"/>
      <c r="E33" s="462"/>
      <c r="F33" s="462"/>
      <c r="G33" s="462"/>
      <c r="H33" s="463"/>
      <c r="I33" s="92"/>
      <c r="J33" s="118"/>
      <c r="K33" s="125"/>
      <c r="L33" s="34"/>
      <c r="M33" s="34"/>
      <c r="N33" s="34"/>
      <c r="O33" s="34"/>
      <c r="P33" s="34"/>
      <c r="Q33" s="34"/>
      <c r="R33" s="34"/>
      <c r="S33" s="34"/>
      <c r="T33" s="203"/>
      <c r="U33" s="203"/>
      <c r="V33" s="1"/>
      <c r="W33" s="133" t="s">
        <v>124</v>
      </c>
      <c r="Y33" s="199">
        <f t="shared" si="0"/>
        <v>0</v>
      </c>
    </row>
    <row r="34" spans="1:25" s="4" customFormat="1" ht="17.25" customHeight="1">
      <c r="A34" s="1"/>
      <c r="B34" s="33"/>
      <c r="C34" s="33"/>
      <c r="D34" s="37"/>
      <c r="E34" s="37"/>
      <c r="F34" s="37"/>
      <c r="G34" s="37"/>
      <c r="H34" s="37"/>
      <c r="I34" s="37"/>
      <c r="J34" s="37"/>
      <c r="K34" s="125"/>
      <c r="L34" s="34"/>
      <c r="M34" s="34"/>
      <c r="N34" s="1"/>
      <c r="O34" s="1"/>
      <c r="P34" s="1"/>
      <c r="Q34" s="1"/>
      <c r="R34" s="1"/>
      <c r="S34" s="1"/>
      <c r="T34" s="1"/>
      <c r="U34" s="1"/>
      <c r="V34" s="1"/>
      <c r="W34" s="133" t="s">
        <v>125</v>
      </c>
      <c r="Y34" s="199">
        <f t="shared" si="0"/>
        <v>0</v>
      </c>
    </row>
    <row r="35" spans="1:25" s="4" customFormat="1" ht="21.75" customHeight="1">
      <c r="A35" s="1"/>
      <c r="B35" s="32"/>
      <c r="C35" s="425" t="s">
        <v>10</v>
      </c>
      <c r="D35" s="426"/>
      <c r="E35" s="426"/>
      <c r="F35" s="427"/>
      <c r="G35" s="429" t="s">
        <v>84</v>
      </c>
      <c r="H35" s="429"/>
      <c r="I35" s="429"/>
      <c r="J35" s="115"/>
      <c r="K35" s="130"/>
      <c r="L35" s="115"/>
      <c r="M35" s="115"/>
      <c r="N35" s="115"/>
      <c r="O35" s="98"/>
      <c r="P35" s="98"/>
      <c r="Q35" s="98"/>
      <c r="R35" s="98"/>
      <c r="S35" s="98"/>
      <c r="T35" s="98"/>
      <c r="U35" s="98"/>
      <c r="V35" s="98"/>
      <c r="W35" s="133" t="s">
        <v>126</v>
      </c>
      <c r="Y35" s="199">
        <f t="shared" si="0"/>
        <v>0</v>
      </c>
    </row>
    <row r="36" spans="1:25" ht="29.25" customHeight="1">
      <c r="A36" s="424" t="s">
        <v>11</v>
      </c>
      <c r="B36" s="424"/>
      <c r="C36" s="421" t="s">
        <v>238</v>
      </c>
      <c r="D36" s="422"/>
      <c r="E36" s="422"/>
      <c r="F36" s="423"/>
      <c r="G36" s="457" t="s">
        <v>239</v>
      </c>
      <c r="H36" s="457"/>
      <c r="I36" s="457"/>
      <c r="J36" s="116"/>
      <c r="K36" s="131"/>
      <c r="L36" s="116"/>
      <c r="M36" s="116"/>
      <c r="N36" s="116"/>
      <c r="O36" s="38"/>
      <c r="P36" s="38"/>
      <c r="Q36" s="38"/>
      <c r="R36" s="38"/>
      <c r="S36" s="38"/>
      <c r="T36" s="38"/>
      <c r="U36" s="38"/>
      <c r="V36" s="38"/>
      <c r="W36" s="133" t="s">
        <v>127</v>
      </c>
      <c r="Y36" s="199">
        <f t="shared" si="0"/>
        <v>0</v>
      </c>
    </row>
    <row r="37" spans="1:25" ht="29.25" customHeight="1">
      <c r="A37" s="424" t="s">
        <v>12</v>
      </c>
      <c r="B37" s="424"/>
      <c r="C37" s="421" t="s">
        <v>240</v>
      </c>
      <c r="D37" s="422"/>
      <c r="E37" s="422"/>
      <c r="F37" s="423"/>
      <c r="G37" s="457" t="s">
        <v>241</v>
      </c>
      <c r="H37" s="457"/>
      <c r="I37" s="457"/>
      <c r="J37" s="116"/>
      <c r="K37" s="131"/>
      <c r="L37" s="116"/>
      <c r="M37" s="116"/>
      <c r="N37" s="116"/>
      <c r="O37" s="38"/>
      <c r="P37" s="38"/>
      <c r="Q37" s="38"/>
      <c r="R37" s="38"/>
      <c r="S37" s="38"/>
      <c r="T37" s="38"/>
      <c r="U37" s="38"/>
      <c r="V37" s="38"/>
      <c r="W37" s="133" t="s">
        <v>128</v>
      </c>
      <c r="Y37" s="199">
        <f t="shared" si="0"/>
        <v>0</v>
      </c>
    </row>
    <row r="38" spans="1:25" ht="29.25" customHeight="1">
      <c r="A38" s="424" t="s">
        <v>13</v>
      </c>
      <c r="B38" s="424"/>
      <c r="C38" s="467">
        <f>I32</f>
        <v>44013</v>
      </c>
      <c r="D38" s="422"/>
      <c r="E38" s="422"/>
      <c r="F38" s="423"/>
      <c r="G38" s="503">
        <f>C38</f>
        <v>44013</v>
      </c>
      <c r="H38" s="457"/>
      <c r="I38" s="457"/>
      <c r="J38" s="116"/>
      <c r="K38" s="131"/>
      <c r="L38" s="116"/>
      <c r="M38" s="116"/>
      <c r="N38" s="116"/>
      <c r="O38" s="38"/>
      <c r="P38" s="38"/>
      <c r="Q38" s="38"/>
      <c r="R38" s="38"/>
      <c r="S38" s="38"/>
      <c r="T38" s="38"/>
      <c r="U38" s="38"/>
      <c r="V38" s="38"/>
      <c r="W38" s="133" t="s">
        <v>129</v>
      </c>
      <c r="Y38" s="199">
        <f t="shared" si="0"/>
        <v>0</v>
      </c>
    </row>
    <row r="39" spans="23:25" ht="36">
      <c r="W39" s="133" t="s">
        <v>130</v>
      </c>
      <c r="Y39" s="199">
        <f t="shared" si="0"/>
        <v>0</v>
      </c>
    </row>
    <row r="40" spans="23:25" ht="36">
      <c r="W40" s="133" t="s">
        <v>131</v>
      </c>
      <c r="Y40" s="199">
        <f t="shared" si="0"/>
        <v>0</v>
      </c>
    </row>
    <row r="41" spans="23:25" ht="36">
      <c r="W41" s="133" t="s">
        <v>132</v>
      </c>
      <c r="Y41" s="199">
        <f t="shared" si="0"/>
        <v>0</v>
      </c>
    </row>
    <row r="42" spans="23:25" ht="36">
      <c r="W42" s="134" t="s">
        <v>133</v>
      </c>
      <c r="Y42" s="199">
        <f t="shared" si="0"/>
        <v>0</v>
      </c>
    </row>
    <row r="43" spans="23:25" ht="36">
      <c r="W43" s="134" t="s">
        <v>134</v>
      </c>
      <c r="Y43" s="199">
        <f t="shared" si="0"/>
        <v>0</v>
      </c>
    </row>
    <row r="44" spans="23:25" ht="36">
      <c r="W44" s="134" t="s">
        <v>135</v>
      </c>
      <c r="Y44" s="199">
        <f t="shared" si="0"/>
        <v>0</v>
      </c>
    </row>
    <row r="45" spans="23:25" ht="36">
      <c r="W45" s="134" t="s">
        <v>136</v>
      </c>
      <c r="Y45" s="199">
        <f t="shared" si="0"/>
        <v>0</v>
      </c>
    </row>
    <row r="46" spans="23:25" ht="36">
      <c r="W46" s="135" t="s">
        <v>137</v>
      </c>
      <c r="Y46" s="199">
        <f t="shared" si="0"/>
        <v>0</v>
      </c>
    </row>
    <row r="47" spans="23:25" ht="24">
      <c r="W47" s="135" t="s">
        <v>138</v>
      </c>
      <c r="Y47" s="199">
        <f t="shared" si="0"/>
        <v>0</v>
      </c>
    </row>
    <row r="48" spans="23:25" ht="24">
      <c r="W48" s="136" t="s">
        <v>139</v>
      </c>
      <c r="Y48" s="199">
        <f t="shared" si="0"/>
        <v>0</v>
      </c>
    </row>
    <row r="49" spans="23:25" ht="24">
      <c r="W49" s="136" t="s">
        <v>140</v>
      </c>
      <c r="Y49" s="199">
        <f t="shared" si="0"/>
        <v>0</v>
      </c>
    </row>
    <row r="50" spans="23:25" ht="24">
      <c r="W50" s="136" t="s">
        <v>141</v>
      </c>
      <c r="Y50" s="199">
        <f t="shared" si="0"/>
        <v>0</v>
      </c>
    </row>
    <row r="51" spans="23:25" ht="24">
      <c r="W51" s="136" t="s">
        <v>142</v>
      </c>
      <c r="Y51" s="199">
        <f t="shared" si="0"/>
        <v>0</v>
      </c>
    </row>
    <row r="52" spans="23:25" ht="24">
      <c r="W52" s="136" t="s">
        <v>143</v>
      </c>
      <c r="Y52" s="199">
        <f t="shared" si="0"/>
        <v>0</v>
      </c>
    </row>
    <row r="53" spans="23:25" ht="24">
      <c r="W53" s="136" t="s">
        <v>144</v>
      </c>
      <c r="Y53" s="199">
        <f t="shared" si="0"/>
        <v>0</v>
      </c>
    </row>
    <row r="54" spans="23:25" ht="24">
      <c r="W54" s="136" t="s">
        <v>145</v>
      </c>
      <c r="Y54" s="199">
        <f t="shared" si="0"/>
        <v>0</v>
      </c>
    </row>
    <row r="55" spans="23:25" ht="24">
      <c r="W55" s="136" t="s">
        <v>146</v>
      </c>
      <c r="Y55" s="199">
        <f t="shared" si="0"/>
        <v>0</v>
      </c>
    </row>
    <row r="56" spans="23:25" ht="24">
      <c r="W56" s="136" t="s">
        <v>147</v>
      </c>
      <c r="Y56" s="199">
        <f t="shared" si="0"/>
        <v>0</v>
      </c>
    </row>
    <row r="57" spans="23:25" ht="24">
      <c r="W57" s="136" t="s">
        <v>148</v>
      </c>
      <c r="Y57" s="199">
        <f t="shared" si="0"/>
        <v>0</v>
      </c>
    </row>
    <row r="58" spans="23:25" ht="24">
      <c r="W58" s="136" t="s">
        <v>149</v>
      </c>
      <c r="Y58" s="199">
        <f t="shared" si="0"/>
        <v>0</v>
      </c>
    </row>
    <row r="59" spans="23:25" ht="24">
      <c r="W59" s="136" t="s">
        <v>150</v>
      </c>
      <c r="Y59" s="199">
        <f t="shared" si="0"/>
        <v>0</v>
      </c>
    </row>
    <row r="60" spans="23:25" ht="24">
      <c r="W60" s="136" t="s">
        <v>151</v>
      </c>
      <c r="Y60" s="199">
        <f t="shared" si="0"/>
        <v>0</v>
      </c>
    </row>
    <row r="61" spans="23:25" ht="24">
      <c r="W61" s="136" t="s">
        <v>152</v>
      </c>
      <c r="Y61" s="199">
        <f t="shared" si="0"/>
        <v>0</v>
      </c>
    </row>
    <row r="62" spans="23:25" ht="24">
      <c r="W62" s="136" t="s">
        <v>153</v>
      </c>
      <c r="Y62" s="199">
        <f t="shared" si="0"/>
        <v>0</v>
      </c>
    </row>
    <row r="63" spans="23:25" ht="24">
      <c r="W63" s="136" t="s">
        <v>154</v>
      </c>
      <c r="Y63" s="199">
        <f t="shared" si="0"/>
        <v>0</v>
      </c>
    </row>
    <row r="64" spans="23:25" ht="24">
      <c r="W64" s="136" t="s">
        <v>155</v>
      </c>
      <c r="Y64" s="199">
        <f t="shared" si="0"/>
        <v>0</v>
      </c>
    </row>
    <row r="65" spans="23:25" ht="24">
      <c r="W65" s="136" t="s">
        <v>156</v>
      </c>
      <c r="Y65" s="199">
        <f t="shared" si="0"/>
        <v>0</v>
      </c>
    </row>
    <row r="66" spans="23:25" ht="24">
      <c r="W66" s="136" t="s">
        <v>157</v>
      </c>
      <c r="Y66" s="199">
        <f t="shared" si="0"/>
        <v>0</v>
      </c>
    </row>
    <row r="67" spans="23:25" ht="24">
      <c r="W67" s="136" t="s">
        <v>158</v>
      </c>
      <c r="Y67" s="199">
        <f t="shared" si="0"/>
        <v>0</v>
      </c>
    </row>
    <row r="68" spans="23:25" ht="24">
      <c r="W68" s="136" t="s">
        <v>159</v>
      </c>
      <c r="Y68" s="199">
        <f t="shared" si="0"/>
        <v>0</v>
      </c>
    </row>
    <row r="69" spans="23:25" ht="24">
      <c r="W69" s="136" t="s">
        <v>160</v>
      </c>
      <c r="Y69" s="199">
        <f t="shared" si="0"/>
        <v>0</v>
      </c>
    </row>
    <row r="70" spans="23:25" ht="24">
      <c r="W70" s="136" t="s">
        <v>161</v>
      </c>
      <c r="Y70" s="199">
        <f t="shared" si="0"/>
        <v>0</v>
      </c>
    </row>
    <row r="71" spans="23:25" ht="24">
      <c r="W71" s="136" t="s">
        <v>162</v>
      </c>
      <c r="Y71" s="199">
        <f t="shared" si="0"/>
        <v>0</v>
      </c>
    </row>
  </sheetData>
  <sheetProtection/>
  <mergeCells count="71">
    <mergeCell ref="C3:J4"/>
    <mergeCell ref="L6:M6"/>
    <mergeCell ref="K4:M4"/>
    <mergeCell ref="A1:B4"/>
    <mergeCell ref="G38:I38"/>
    <mergeCell ref="F13:F14"/>
    <mergeCell ref="E13:E14"/>
    <mergeCell ref="A29:K29"/>
    <mergeCell ref="A36:B36"/>
    <mergeCell ref="D6:G6"/>
    <mergeCell ref="A7:C7"/>
    <mergeCell ref="A9:C10"/>
    <mergeCell ref="A5:U5"/>
    <mergeCell ref="L7:M7"/>
    <mergeCell ref="D9:G10"/>
    <mergeCell ref="L9:M9"/>
    <mergeCell ref="K1:U1"/>
    <mergeCell ref="K2:U2"/>
    <mergeCell ref="A8:C8"/>
    <mergeCell ref="D8:G8"/>
    <mergeCell ref="O3:U3"/>
    <mergeCell ref="O4:U4"/>
    <mergeCell ref="K3:M3"/>
    <mergeCell ref="C1:J2"/>
    <mergeCell ref="A6:C6"/>
    <mergeCell ref="D7:G7"/>
    <mergeCell ref="A12:G12"/>
    <mergeCell ref="A11:G11"/>
    <mergeCell ref="L11:M11"/>
    <mergeCell ref="C38:F38"/>
    <mergeCell ref="A32:B32"/>
    <mergeCell ref="C32:H32"/>
    <mergeCell ref="A38:B38"/>
    <mergeCell ref="G37:I37"/>
    <mergeCell ref="L13:U13"/>
    <mergeCell ref="G13:G14"/>
    <mergeCell ref="G36:I36"/>
    <mergeCell ref="A31:B31"/>
    <mergeCell ref="A20:A21"/>
    <mergeCell ref="B20:D21"/>
    <mergeCell ref="I20:I21"/>
    <mergeCell ref="K20:K21"/>
    <mergeCell ref="A33:B33"/>
    <mergeCell ref="C33:H33"/>
    <mergeCell ref="A22:A23"/>
    <mergeCell ref="B22:D23"/>
    <mergeCell ref="A13:A14"/>
    <mergeCell ref="J13:K13"/>
    <mergeCell ref="H13:I13"/>
    <mergeCell ref="B13:D14"/>
    <mergeCell ref="A15:A19"/>
    <mergeCell ref="B15:D19"/>
    <mergeCell ref="I15:I19"/>
    <mergeCell ref="K15:K19"/>
    <mergeCell ref="I22:I23"/>
    <mergeCell ref="K22:K23"/>
    <mergeCell ref="B24:D24"/>
    <mergeCell ref="A25:A26"/>
    <mergeCell ref="B25:D26"/>
    <mergeCell ref="I25:I26"/>
    <mergeCell ref="K25:K26"/>
    <mergeCell ref="B27:D27"/>
    <mergeCell ref="B28:D28"/>
    <mergeCell ref="A30:K30"/>
    <mergeCell ref="L30:U30"/>
    <mergeCell ref="C36:F36"/>
    <mergeCell ref="C37:F37"/>
    <mergeCell ref="A37:B37"/>
    <mergeCell ref="C35:F35"/>
    <mergeCell ref="C31:H31"/>
    <mergeCell ref="G35:I35"/>
  </mergeCells>
  <dataValidations count="1">
    <dataValidation type="list" allowBlank="1" showInputMessage="1" showErrorMessage="1" sqref="L14:U14">
      <formula1>$W$6:$W$71</formula1>
    </dataValidation>
  </dataValidations>
  <printOptions horizontalCentered="1" verticalCentered="1"/>
  <pageMargins left="0.15748031496062992" right="0.03937007874015748" top="0.15748031496062992" bottom="0.15748031496062992" header="0" footer="0"/>
  <pageSetup horizontalDpi="600" verticalDpi="600" orientation="landscape" paperSize="122" scale="54" r:id="rId4"/>
  <colBreaks count="1" manualBreakCount="1">
    <brk id="22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5"/>
  <sheetViews>
    <sheetView showGridLines="0" tabSelected="1" zoomScale="69" zoomScaleNormal="69" zoomScalePageLayoutView="0" workbookViewId="0" topLeftCell="F20">
      <selection activeCell="M38" sqref="M38"/>
    </sheetView>
  </sheetViews>
  <sheetFormatPr defaultColWidth="11.421875" defaultRowHeight="12.75"/>
  <cols>
    <col min="1" max="1" width="4.00390625" style="1" customWidth="1"/>
    <col min="2" max="2" width="16.57421875" style="3" customWidth="1"/>
    <col min="3" max="3" width="12.28125" style="1" customWidth="1"/>
    <col min="4" max="4" width="11.28125" style="1" customWidth="1"/>
    <col min="5" max="5" width="9.28125" style="1" customWidth="1"/>
    <col min="6" max="6" width="25.140625" style="1" customWidth="1"/>
    <col min="7" max="7" width="25.28125" style="3" customWidth="1"/>
    <col min="8" max="8" width="22.28125" style="1" customWidth="1"/>
    <col min="9" max="9" width="23.421875" style="1" customWidth="1"/>
    <col min="10" max="10" width="26.421875" style="1" customWidth="1"/>
    <col min="11" max="11" width="19.8515625" style="2" customWidth="1"/>
    <col min="12" max="14" width="19.421875" style="1" customWidth="1"/>
    <col min="15" max="15" width="18.421875" style="1" customWidth="1"/>
    <col min="16" max="16" width="19.57421875" style="1" customWidth="1"/>
    <col min="17" max="17" width="19.8515625" style="1" customWidth="1"/>
    <col min="18" max="19" width="19.140625" style="1" customWidth="1"/>
    <col min="20" max="20" width="17.140625" style="372" bestFit="1" customWidth="1"/>
    <col min="21" max="21" width="18.7109375" style="1" customWidth="1"/>
    <col min="22" max="22" width="14.140625" style="1" customWidth="1"/>
    <col min="23" max="23" width="13.8515625" style="277" customWidth="1"/>
    <col min="24" max="24" width="0" style="1" hidden="1" customWidth="1"/>
    <col min="25" max="16384" width="11.421875" style="1" customWidth="1"/>
  </cols>
  <sheetData>
    <row r="1" spans="1:19" ht="31.5" customHeight="1">
      <c r="A1" s="502"/>
      <c r="B1" s="502"/>
      <c r="C1" s="478" t="s">
        <v>49</v>
      </c>
      <c r="D1" s="479"/>
      <c r="E1" s="479"/>
      <c r="F1" s="479"/>
      <c r="G1" s="479"/>
      <c r="H1" s="479"/>
      <c r="I1" s="479"/>
      <c r="J1" s="480"/>
      <c r="K1" s="472" t="s">
        <v>92</v>
      </c>
      <c r="L1" s="472"/>
      <c r="M1" s="472"/>
      <c r="N1" s="472"/>
      <c r="O1" s="472"/>
      <c r="P1" s="472"/>
      <c r="Q1" s="472"/>
      <c r="R1" s="472"/>
      <c r="S1" s="472"/>
    </row>
    <row r="2" spans="1:19" ht="19.5" customHeight="1">
      <c r="A2" s="502"/>
      <c r="B2" s="502"/>
      <c r="C2" s="481"/>
      <c r="D2" s="482"/>
      <c r="E2" s="482"/>
      <c r="F2" s="482"/>
      <c r="G2" s="482"/>
      <c r="H2" s="482"/>
      <c r="I2" s="482"/>
      <c r="J2" s="483"/>
      <c r="K2" s="473" t="s">
        <v>51</v>
      </c>
      <c r="L2" s="473"/>
      <c r="M2" s="473"/>
      <c r="N2" s="473"/>
      <c r="O2" s="473"/>
      <c r="P2" s="473"/>
      <c r="Q2" s="473"/>
      <c r="R2" s="473"/>
      <c r="S2" s="473"/>
    </row>
    <row r="3" spans="1:19" ht="19.5" customHeight="1">
      <c r="A3" s="502"/>
      <c r="B3" s="502"/>
      <c r="C3" s="478" t="s">
        <v>50</v>
      </c>
      <c r="D3" s="479"/>
      <c r="E3" s="479"/>
      <c r="F3" s="479"/>
      <c r="G3" s="479"/>
      <c r="H3" s="479"/>
      <c r="I3" s="479"/>
      <c r="J3" s="480"/>
      <c r="K3" s="473" t="s">
        <v>52</v>
      </c>
      <c r="L3" s="473"/>
      <c r="M3" s="473"/>
      <c r="N3" s="473"/>
      <c r="O3" s="473"/>
      <c r="P3" s="473"/>
      <c r="Q3" s="473"/>
      <c r="R3" s="144"/>
      <c r="S3" s="144"/>
    </row>
    <row r="4" spans="1:19" ht="24.75" customHeight="1">
      <c r="A4" s="502"/>
      <c r="B4" s="502"/>
      <c r="C4" s="481"/>
      <c r="D4" s="482"/>
      <c r="E4" s="482"/>
      <c r="F4" s="482"/>
      <c r="G4" s="482"/>
      <c r="H4" s="482"/>
      <c r="I4" s="482"/>
      <c r="J4" s="483"/>
      <c r="K4" s="500" t="s">
        <v>166</v>
      </c>
      <c r="L4" s="501"/>
      <c r="M4" s="501"/>
      <c r="N4" s="501"/>
      <c r="O4" s="501"/>
      <c r="P4" s="501"/>
      <c r="Q4" s="501"/>
      <c r="R4" s="145"/>
      <c r="S4" s="356"/>
    </row>
    <row r="5" spans="1:20" ht="31.5" customHeight="1">
      <c r="A5" s="457" t="s">
        <v>95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373"/>
    </row>
    <row r="6" spans="1:20" ht="30.75" customHeight="1">
      <c r="A6" s="484" t="s">
        <v>3</v>
      </c>
      <c r="B6" s="484"/>
      <c r="C6" s="484"/>
      <c r="D6" s="506" t="s">
        <v>570</v>
      </c>
      <c r="E6" s="506"/>
      <c r="F6" s="506"/>
      <c r="G6" s="506"/>
      <c r="H6" s="113" t="s">
        <v>0</v>
      </c>
      <c r="I6" s="114" t="s">
        <v>1</v>
      </c>
      <c r="J6" s="538"/>
      <c r="K6" s="539"/>
      <c r="L6" s="539"/>
      <c r="M6" s="539"/>
      <c r="N6" s="539"/>
      <c r="O6" s="539"/>
      <c r="P6" s="539"/>
      <c r="Q6" s="539"/>
      <c r="R6" s="539"/>
      <c r="S6" s="540"/>
      <c r="T6" s="374"/>
    </row>
    <row r="7" spans="1:20" ht="34.5" customHeight="1">
      <c r="A7" s="474" t="s">
        <v>59</v>
      </c>
      <c r="B7" s="474"/>
      <c r="C7" s="474"/>
      <c r="D7" s="485" t="s">
        <v>571</v>
      </c>
      <c r="E7" s="485"/>
      <c r="F7" s="485"/>
      <c r="G7" s="485"/>
      <c r="H7" s="36" t="s">
        <v>96</v>
      </c>
      <c r="I7" s="403">
        <v>1140689741.1216087</v>
      </c>
      <c r="J7" s="541"/>
      <c r="K7" s="542"/>
      <c r="L7" s="542"/>
      <c r="M7" s="542"/>
      <c r="N7" s="542"/>
      <c r="O7" s="542"/>
      <c r="P7" s="542"/>
      <c r="Q7" s="542"/>
      <c r="R7" s="542"/>
      <c r="S7" s="543"/>
      <c r="T7" s="374"/>
    </row>
    <row r="8" spans="1:20" ht="34.5" customHeight="1">
      <c r="A8" s="474" t="s">
        <v>2</v>
      </c>
      <c r="B8" s="474"/>
      <c r="C8" s="474"/>
      <c r="D8" s="468" t="s">
        <v>236</v>
      </c>
      <c r="E8" s="469"/>
      <c r="F8" s="469"/>
      <c r="G8" s="470"/>
      <c r="H8" s="31" t="s">
        <v>89</v>
      </c>
      <c r="I8" s="403">
        <v>1120000000</v>
      </c>
      <c r="J8" s="541"/>
      <c r="K8" s="542"/>
      <c r="L8" s="542"/>
      <c r="M8" s="542"/>
      <c r="N8" s="542"/>
      <c r="O8" s="542"/>
      <c r="P8" s="542"/>
      <c r="Q8" s="542"/>
      <c r="R8" s="542"/>
      <c r="S8" s="543"/>
      <c r="T8" s="374"/>
    </row>
    <row r="9" spans="1:20" ht="33" customHeight="1">
      <c r="A9" s="486" t="s">
        <v>60</v>
      </c>
      <c r="B9" s="487"/>
      <c r="C9" s="488"/>
      <c r="D9" s="530" t="s">
        <v>497</v>
      </c>
      <c r="E9" s="531"/>
      <c r="F9" s="531"/>
      <c r="G9" s="532"/>
      <c r="H9" s="31" t="s">
        <v>90</v>
      </c>
      <c r="I9" s="401" t="s">
        <v>4</v>
      </c>
      <c r="J9" s="541"/>
      <c r="K9" s="542"/>
      <c r="L9" s="542"/>
      <c r="M9" s="542"/>
      <c r="N9" s="542"/>
      <c r="O9" s="542"/>
      <c r="P9" s="542"/>
      <c r="Q9" s="542"/>
      <c r="R9" s="542"/>
      <c r="S9" s="543"/>
      <c r="T9" s="374"/>
    </row>
    <row r="10" spans="1:20" ht="47.25" customHeight="1">
      <c r="A10" s="489"/>
      <c r="B10" s="490"/>
      <c r="C10" s="491"/>
      <c r="D10" s="533"/>
      <c r="E10" s="534"/>
      <c r="F10" s="534"/>
      <c r="G10" s="535"/>
      <c r="H10" s="31" t="s">
        <v>91</v>
      </c>
      <c r="I10" s="401" t="s">
        <v>4</v>
      </c>
      <c r="J10" s="541"/>
      <c r="K10" s="542"/>
      <c r="L10" s="542"/>
      <c r="M10" s="542"/>
      <c r="N10" s="542"/>
      <c r="O10" s="542"/>
      <c r="P10" s="542"/>
      <c r="Q10" s="542"/>
      <c r="R10" s="542"/>
      <c r="S10" s="543"/>
      <c r="T10" s="374"/>
    </row>
    <row r="11" spans="1:20" ht="57.75" customHeight="1">
      <c r="A11" s="464" t="s">
        <v>103</v>
      </c>
      <c r="B11" s="464"/>
      <c r="C11" s="464"/>
      <c r="D11" s="464"/>
      <c r="E11" s="464"/>
      <c r="F11" s="464"/>
      <c r="G11" s="465"/>
      <c r="H11" s="110" t="s">
        <v>9</v>
      </c>
      <c r="I11" s="400">
        <f>SUM(I7:I10)</f>
        <v>2260689741.1216087</v>
      </c>
      <c r="J11" s="544"/>
      <c r="K11" s="545"/>
      <c r="L11" s="545"/>
      <c r="M11" s="545"/>
      <c r="N11" s="545"/>
      <c r="O11" s="545"/>
      <c r="P11" s="545"/>
      <c r="Q11" s="545"/>
      <c r="R11" s="545"/>
      <c r="S11" s="546"/>
      <c r="T11" s="374"/>
    </row>
    <row r="12" spans="1:19" ht="22.5" customHeight="1">
      <c r="A12" s="464" t="s">
        <v>102</v>
      </c>
      <c r="B12" s="464"/>
      <c r="C12" s="464"/>
      <c r="D12" s="464"/>
      <c r="E12" s="464"/>
      <c r="F12" s="464"/>
      <c r="G12" s="465"/>
      <c r="H12" s="110" t="s">
        <v>9</v>
      </c>
      <c r="I12" s="400">
        <f>'POA H.B.'!K108</f>
        <v>192042460.8</v>
      </c>
      <c r="J12" s="297"/>
      <c r="K12" s="298"/>
      <c r="L12" s="298"/>
      <c r="M12" s="298"/>
      <c r="N12" s="298"/>
      <c r="O12" s="298"/>
      <c r="P12" s="298"/>
      <c r="Q12" s="298"/>
      <c r="R12" s="298"/>
      <c r="S12" s="405"/>
    </row>
    <row r="13" spans="1:19" ht="35.25" customHeight="1">
      <c r="A13" s="446" t="s">
        <v>5</v>
      </c>
      <c r="B13" s="449" t="s">
        <v>104</v>
      </c>
      <c r="C13" s="449"/>
      <c r="D13" s="449"/>
      <c r="E13" s="504" t="s">
        <v>5</v>
      </c>
      <c r="F13" s="504" t="s">
        <v>99</v>
      </c>
      <c r="G13" s="449" t="s">
        <v>6</v>
      </c>
      <c r="H13" s="448" t="s">
        <v>257</v>
      </c>
      <c r="I13" s="448"/>
      <c r="J13" s="449" t="s">
        <v>7</v>
      </c>
      <c r="K13" s="449"/>
      <c r="L13" s="524" t="s">
        <v>93</v>
      </c>
      <c r="M13" s="525"/>
      <c r="N13" s="525"/>
      <c r="O13" s="525"/>
      <c r="P13" s="525"/>
      <c r="Q13" s="525"/>
      <c r="R13" s="525"/>
      <c r="S13" s="526"/>
    </row>
    <row r="14" spans="1:24" ht="84.75" customHeight="1">
      <c r="A14" s="446"/>
      <c r="B14" s="449"/>
      <c r="C14" s="449"/>
      <c r="D14" s="449"/>
      <c r="E14" s="505"/>
      <c r="F14" s="505"/>
      <c r="G14" s="449"/>
      <c r="H14" s="92" t="s">
        <v>8</v>
      </c>
      <c r="I14" s="100" t="s">
        <v>61</v>
      </c>
      <c r="J14" s="92" t="s">
        <v>8</v>
      </c>
      <c r="K14" s="123" t="s">
        <v>61</v>
      </c>
      <c r="L14" s="367" t="s">
        <v>536</v>
      </c>
      <c r="M14" s="367" t="s">
        <v>530</v>
      </c>
      <c r="N14" s="367" t="s">
        <v>543</v>
      </c>
      <c r="O14" s="367" t="s">
        <v>565</v>
      </c>
      <c r="P14" s="367" t="s">
        <v>562</v>
      </c>
      <c r="Q14" s="367" t="s">
        <v>549</v>
      </c>
      <c r="R14" s="367" t="s">
        <v>548</v>
      </c>
      <c r="S14" s="367" t="s">
        <v>531</v>
      </c>
      <c r="W14" s="404"/>
      <c r="X14" s="404" t="s">
        <v>538</v>
      </c>
    </row>
    <row r="15" spans="1:29" s="4" customFormat="1" ht="68.25" customHeight="1">
      <c r="A15" s="437">
        <v>1</v>
      </c>
      <c r="B15" s="434" t="s">
        <v>167</v>
      </c>
      <c r="C15" s="435"/>
      <c r="D15" s="436"/>
      <c r="E15" s="269">
        <v>1</v>
      </c>
      <c r="F15" s="147" t="s">
        <v>168</v>
      </c>
      <c r="G15" s="148" t="s">
        <v>169</v>
      </c>
      <c r="H15" s="149" t="s">
        <v>170</v>
      </c>
      <c r="I15" s="454">
        <v>1</v>
      </c>
      <c r="J15" s="150" t="s">
        <v>171</v>
      </c>
      <c r="K15" s="432" t="s">
        <v>172</v>
      </c>
      <c r="L15" s="390"/>
      <c r="M15" s="391"/>
      <c r="N15" s="398">
        <v>6497541</v>
      </c>
      <c r="O15" s="726">
        <v>8556314</v>
      </c>
      <c r="P15" s="726">
        <v>264893089.12</v>
      </c>
      <c r="Q15" s="727">
        <v>144262013.42</v>
      </c>
      <c r="R15" s="393"/>
      <c r="S15" s="391"/>
      <c r="T15" s="413">
        <f>SUM(L15:S15)</f>
        <v>424208957.53999996</v>
      </c>
      <c r="U15" s="413"/>
      <c r="V15" s="414"/>
      <c r="W15" s="404"/>
      <c r="X15" s="404" t="s">
        <v>539</v>
      </c>
      <c r="Y15" s="1"/>
      <c r="Z15" s="1"/>
      <c r="AA15" s="1"/>
      <c r="AB15" s="1"/>
      <c r="AC15" s="1"/>
    </row>
    <row r="16" spans="1:29" s="4" customFormat="1" ht="68.25" customHeight="1">
      <c r="A16" s="450"/>
      <c r="B16" s="451"/>
      <c r="C16" s="510"/>
      <c r="D16" s="453"/>
      <c r="E16" s="269">
        <v>2</v>
      </c>
      <c r="F16" s="147" t="s">
        <v>174</v>
      </c>
      <c r="G16" s="148" t="s">
        <v>175</v>
      </c>
      <c r="H16" s="149" t="s">
        <v>176</v>
      </c>
      <c r="I16" s="455"/>
      <c r="J16" s="150" t="s">
        <v>177</v>
      </c>
      <c r="K16" s="520"/>
      <c r="L16" s="393"/>
      <c r="M16" s="392"/>
      <c r="N16" s="726">
        <v>288896081</v>
      </c>
      <c r="O16" s="394"/>
      <c r="P16" s="392"/>
      <c r="Q16" s="727">
        <v>47643933</v>
      </c>
      <c r="R16" s="393">
        <v>49139155.18</v>
      </c>
      <c r="S16" s="392">
        <v>150138127.4</v>
      </c>
      <c r="T16" s="413">
        <f aca="true" t="shared" si="0" ref="T16:T28">SUM(L16:S16)</f>
        <v>535817296.58000004</v>
      </c>
      <c r="U16" s="414"/>
      <c r="V16" s="414"/>
      <c r="W16" s="404"/>
      <c r="X16" s="404" t="s">
        <v>540</v>
      </c>
      <c r="Y16" s="1"/>
      <c r="Z16" s="1"/>
      <c r="AA16" s="1"/>
      <c r="AB16" s="1"/>
      <c r="AC16" s="1"/>
    </row>
    <row r="17" spans="1:29" s="4" customFormat="1" ht="68.25" customHeight="1">
      <c r="A17" s="450"/>
      <c r="B17" s="451"/>
      <c r="C17" s="510"/>
      <c r="D17" s="453"/>
      <c r="E17" s="269">
        <v>3</v>
      </c>
      <c r="F17" s="147" t="s">
        <v>179</v>
      </c>
      <c r="G17" s="148" t="s">
        <v>175</v>
      </c>
      <c r="H17" s="149" t="s">
        <v>180</v>
      </c>
      <c r="I17" s="455"/>
      <c r="J17" s="150" t="s">
        <v>181</v>
      </c>
      <c r="K17" s="520"/>
      <c r="L17" s="391"/>
      <c r="M17" s="392"/>
      <c r="N17" s="392"/>
      <c r="O17" s="392"/>
      <c r="P17" s="394"/>
      <c r="Q17" s="391"/>
      <c r="R17" s="391"/>
      <c r="S17" s="392"/>
      <c r="T17" s="413">
        <f t="shared" si="0"/>
        <v>0</v>
      </c>
      <c r="U17" s="414"/>
      <c r="V17" s="414"/>
      <c r="W17" s="404"/>
      <c r="X17" s="404" t="s">
        <v>562</v>
      </c>
      <c r="Y17" s="1"/>
      <c r="Z17" s="1"/>
      <c r="AA17" s="1"/>
      <c r="AB17" s="1"/>
      <c r="AC17" s="1"/>
    </row>
    <row r="18" spans="1:29" s="4" customFormat="1" ht="68.25" customHeight="1">
      <c r="A18" s="450"/>
      <c r="B18" s="451"/>
      <c r="C18" s="510"/>
      <c r="D18" s="453"/>
      <c r="E18" s="269">
        <v>4</v>
      </c>
      <c r="F18" s="147" t="s">
        <v>182</v>
      </c>
      <c r="G18" s="148" t="s">
        <v>175</v>
      </c>
      <c r="H18" s="149" t="s">
        <v>183</v>
      </c>
      <c r="I18" s="455"/>
      <c r="J18" s="150" t="s">
        <v>181</v>
      </c>
      <c r="K18" s="520"/>
      <c r="L18" s="393"/>
      <c r="M18" s="392"/>
      <c r="N18" s="392"/>
      <c r="O18" s="392"/>
      <c r="P18" s="392"/>
      <c r="Q18" s="393"/>
      <c r="R18" s="393"/>
      <c r="S18" s="392"/>
      <c r="T18" s="413">
        <f t="shared" si="0"/>
        <v>0</v>
      </c>
      <c r="U18" s="414"/>
      <c r="V18" s="414"/>
      <c r="W18" s="404"/>
      <c r="X18" s="404" t="s">
        <v>563</v>
      </c>
      <c r="Y18" s="1"/>
      <c r="Z18" s="1"/>
      <c r="AA18" s="1"/>
      <c r="AB18" s="1"/>
      <c r="AC18" s="1"/>
    </row>
    <row r="19" spans="1:29" s="4" customFormat="1" ht="68.25" customHeight="1">
      <c r="A19" s="450"/>
      <c r="B19" s="451"/>
      <c r="C19" s="510"/>
      <c r="D19" s="453"/>
      <c r="E19" s="269">
        <v>5</v>
      </c>
      <c r="F19" s="147" t="s">
        <v>184</v>
      </c>
      <c r="G19" s="148" t="s">
        <v>185</v>
      </c>
      <c r="H19" s="154" t="s">
        <v>186</v>
      </c>
      <c r="I19" s="455"/>
      <c r="J19" s="150" t="s">
        <v>187</v>
      </c>
      <c r="K19" s="520"/>
      <c r="L19" s="393">
        <v>29728130</v>
      </c>
      <c r="M19" s="392">
        <v>100399</v>
      </c>
      <c r="N19" s="726">
        <v>163498900</v>
      </c>
      <c r="O19" s="726">
        <v>163627126</v>
      </c>
      <c r="P19" s="726">
        <v>28634420</v>
      </c>
      <c r="Q19" s="727">
        <v>29580770</v>
      </c>
      <c r="R19" s="393"/>
      <c r="S19" s="392"/>
      <c r="T19" s="413">
        <f t="shared" si="0"/>
        <v>415169745</v>
      </c>
      <c r="U19" s="414"/>
      <c r="V19" s="414"/>
      <c r="W19" s="404"/>
      <c r="X19" s="404" t="s">
        <v>564</v>
      </c>
      <c r="Y19" s="1"/>
      <c r="Z19" s="1"/>
      <c r="AA19" s="1"/>
      <c r="AB19" s="1"/>
      <c r="AC19" s="1"/>
    </row>
    <row r="20" spans="1:29" s="4" customFormat="1" ht="68.25" customHeight="1">
      <c r="A20" s="438"/>
      <c r="B20" s="439"/>
      <c r="C20" s="440"/>
      <c r="D20" s="441"/>
      <c r="E20" s="357">
        <v>6</v>
      </c>
      <c r="F20" s="358" t="s">
        <v>501</v>
      </c>
      <c r="G20" s="359" t="s">
        <v>169</v>
      </c>
      <c r="H20" s="365" t="s">
        <v>503</v>
      </c>
      <c r="I20" s="460"/>
      <c r="J20" s="150" t="s">
        <v>502</v>
      </c>
      <c r="K20" s="433"/>
      <c r="L20" s="393"/>
      <c r="M20" s="392"/>
      <c r="N20" s="726">
        <v>23413814</v>
      </c>
      <c r="O20" s="392"/>
      <c r="P20" s="392">
        <v>6472491</v>
      </c>
      <c r="Q20" s="727">
        <v>315803594</v>
      </c>
      <c r="R20" s="393">
        <v>21794000</v>
      </c>
      <c r="S20" s="392">
        <v>50046042</v>
      </c>
      <c r="T20" s="413">
        <f t="shared" si="0"/>
        <v>417529941</v>
      </c>
      <c r="U20" s="414"/>
      <c r="V20" s="414"/>
      <c r="W20" s="404"/>
      <c r="X20" s="404" t="s">
        <v>541</v>
      </c>
      <c r="Y20" s="1"/>
      <c r="Z20" s="1"/>
      <c r="AA20" s="1"/>
      <c r="AB20" s="1"/>
      <c r="AC20" s="1"/>
    </row>
    <row r="21" spans="1:29" s="4" customFormat="1" ht="78.75">
      <c r="A21" s="207">
        <v>2</v>
      </c>
      <c r="B21" s="459" t="s">
        <v>189</v>
      </c>
      <c r="C21" s="459"/>
      <c r="D21" s="459"/>
      <c r="E21" s="189">
        <v>1</v>
      </c>
      <c r="F21" s="147" t="s">
        <v>194</v>
      </c>
      <c r="G21" s="148" t="s">
        <v>195</v>
      </c>
      <c r="H21" s="149" t="s">
        <v>196</v>
      </c>
      <c r="I21" s="182">
        <v>1</v>
      </c>
      <c r="J21" s="150" t="s">
        <v>197</v>
      </c>
      <c r="K21" s="159" t="s">
        <v>193</v>
      </c>
      <c r="L21" s="393"/>
      <c r="M21" s="392"/>
      <c r="N21" s="392"/>
      <c r="O21" s="392"/>
      <c r="P21" s="392"/>
      <c r="Q21" s="393"/>
      <c r="R21" s="393"/>
      <c r="S21" s="392"/>
      <c r="T21" s="413">
        <f t="shared" si="0"/>
        <v>0</v>
      </c>
      <c r="U21" s="414"/>
      <c r="V21" s="414"/>
      <c r="W21" s="404"/>
      <c r="X21" s="404" t="s">
        <v>559</v>
      </c>
      <c r="Y21" s="1"/>
      <c r="Z21" s="1"/>
      <c r="AA21" s="1"/>
      <c r="AB21" s="1"/>
      <c r="AC21" s="1"/>
    </row>
    <row r="22" spans="1:29" s="4" customFormat="1" ht="97.5" customHeight="1">
      <c r="A22" s="208">
        <v>3</v>
      </c>
      <c r="B22" s="521" t="s">
        <v>508</v>
      </c>
      <c r="C22" s="522"/>
      <c r="D22" s="523"/>
      <c r="E22" s="357">
        <v>1</v>
      </c>
      <c r="F22" s="358" t="s">
        <v>504</v>
      </c>
      <c r="G22" s="359" t="s">
        <v>201</v>
      </c>
      <c r="H22" s="360" t="s">
        <v>506</v>
      </c>
      <c r="I22" s="361">
        <v>0.05</v>
      </c>
      <c r="J22" s="157" t="s">
        <v>507</v>
      </c>
      <c r="K22" s="157" t="s">
        <v>204</v>
      </c>
      <c r="L22" s="393"/>
      <c r="M22" s="392"/>
      <c r="N22" s="392">
        <v>41923024</v>
      </c>
      <c r="O22" s="392"/>
      <c r="P22" s="392"/>
      <c r="Q22" s="393"/>
      <c r="R22" s="393"/>
      <c r="S22" s="392"/>
      <c r="T22" s="413">
        <f t="shared" si="0"/>
        <v>41923024</v>
      </c>
      <c r="U22" s="414"/>
      <c r="V22" s="414"/>
      <c r="W22" s="404"/>
      <c r="X22" s="404" t="s">
        <v>542</v>
      </c>
      <c r="Y22" s="1"/>
      <c r="Z22" s="1"/>
      <c r="AA22" s="1"/>
      <c r="AB22" s="1"/>
      <c r="AC22" s="1"/>
    </row>
    <row r="23" spans="1:29" s="4" customFormat="1" ht="76.5" customHeight="1">
      <c r="A23" s="268">
        <v>4</v>
      </c>
      <c r="B23" s="434" t="s">
        <v>246</v>
      </c>
      <c r="C23" s="435"/>
      <c r="D23" s="436"/>
      <c r="E23" s="269"/>
      <c r="F23" s="147" t="s">
        <v>435</v>
      </c>
      <c r="G23" s="148" t="s">
        <v>436</v>
      </c>
      <c r="H23" s="149" t="s">
        <v>572</v>
      </c>
      <c r="I23" s="406">
        <v>2</v>
      </c>
      <c r="J23" s="157" t="s">
        <v>437</v>
      </c>
      <c r="K23" s="157" t="s">
        <v>247</v>
      </c>
      <c r="L23" s="393">
        <v>57879412</v>
      </c>
      <c r="M23" s="392"/>
      <c r="N23" s="728">
        <v>56569000</v>
      </c>
      <c r="O23" s="392"/>
      <c r="P23" s="392">
        <v>0</v>
      </c>
      <c r="Q23" s="393">
        <v>52847747</v>
      </c>
      <c r="R23" s="393">
        <v>254035378</v>
      </c>
      <c r="S23" s="392"/>
      <c r="T23" s="413">
        <f t="shared" si="0"/>
        <v>421331537</v>
      </c>
      <c r="U23" s="414"/>
      <c r="V23" s="414"/>
      <c r="W23" s="404"/>
      <c r="X23" s="404" t="s">
        <v>543</v>
      </c>
      <c r="Y23" s="1"/>
      <c r="Z23" s="1"/>
      <c r="AA23" s="1"/>
      <c r="AB23" s="1"/>
      <c r="AC23" s="1"/>
    </row>
    <row r="24" spans="1:29" s="4" customFormat="1" ht="72.75" customHeight="1">
      <c r="A24" s="188">
        <v>5</v>
      </c>
      <c r="B24" s="434" t="s">
        <v>208</v>
      </c>
      <c r="C24" s="435"/>
      <c r="D24" s="436"/>
      <c r="E24" s="207">
        <v>1</v>
      </c>
      <c r="F24" s="147" t="s">
        <v>209</v>
      </c>
      <c r="G24" s="148" t="s">
        <v>169</v>
      </c>
      <c r="H24" s="149" t="s">
        <v>210</v>
      </c>
      <c r="I24" s="155">
        <v>1</v>
      </c>
      <c r="J24" s="157" t="s">
        <v>211</v>
      </c>
      <c r="K24" s="157" t="s">
        <v>212</v>
      </c>
      <c r="L24" s="393"/>
      <c r="M24" s="392"/>
      <c r="N24" s="392"/>
      <c r="O24" s="392"/>
      <c r="P24" s="392"/>
      <c r="Q24" s="393"/>
      <c r="R24" s="393"/>
      <c r="S24" s="392"/>
      <c r="T24" s="413">
        <f t="shared" si="0"/>
        <v>0</v>
      </c>
      <c r="U24" s="414"/>
      <c r="V24" s="414"/>
      <c r="W24" s="404"/>
      <c r="X24" s="404" t="s">
        <v>565</v>
      </c>
      <c r="Y24" s="1"/>
      <c r="Z24" s="1"/>
      <c r="AA24" s="1"/>
      <c r="AB24" s="1"/>
      <c r="AC24" s="1"/>
    </row>
    <row r="25" spans="1:29" s="4" customFormat="1" ht="72.75" customHeight="1">
      <c r="A25" s="437">
        <v>6</v>
      </c>
      <c r="B25" s="511" t="s">
        <v>213</v>
      </c>
      <c r="C25" s="512"/>
      <c r="D25" s="513"/>
      <c r="E25" s="269">
        <v>1</v>
      </c>
      <c r="F25" s="147" t="s">
        <v>214</v>
      </c>
      <c r="G25" s="148" t="s">
        <v>169</v>
      </c>
      <c r="H25" s="149" t="s">
        <v>215</v>
      </c>
      <c r="I25" s="442">
        <v>1</v>
      </c>
      <c r="J25" s="150" t="s">
        <v>216</v>
      </c>
      <c r="K25" s="536" t="s">
        <v>217</v>
      </c>
      <c r="L25" s="393"/>
      <c r="M25" s="392"/>
      <c r="N25" s="392"/>
      <c r="O25" s="392"/>
      <c r="P25" s="392"/>
      <c r="Q25" s="393"/>
      <c r="R25" s="393"/>
      <c r="S25" s="392"/>
      <c r="T25" s="413">
        <f t="shared" si="0"/>
        <v>0</v>
      </c>
      <c r="U25" s="414"/>
      <c r="V25" s="414"/>
      <c r="W25" s="404"/>
      <c r="X25" s="404" t="s">
        <v>529</v>
      </c>
      <c r="Y25" s="1"/>
      <c r="Z25" s="1"/>
      <c r="AA25" s="1"/>
      <c r="AB25" s="1"/>
      <c r="AC25" s="1"/>
    </row>
    <row r="26" spans="1:29" s="4" customFormat="1" ht="71.25" customHeight="1">
      <c r="A26" s="438"/>
      <c r="B26" s="514"/>
      <c r="C26" s="515"/>
      <c r="D26" s="516"/>
      <c r="E26" s="189">
        <v>2</v>
      </c>
      <c r="F26" s="147" t="s">
        <v>218</v>
      </c>
      <c r="G26" s="148" t="s">
        <v>175</v>
      </c>
      <c r="H26" s="149" t="s">
        <v>219</v>
      </c>
      <c r="I26" s="443"/>
      <c r="J26" s="150" t="s">
        <v>216</v>
      </c>
      <c r="K26" s="537"/>
      <c r="L26" s="393"/>
      <c r="M26" s="392"/>
      <c r="N26" s="392"/>
      <c r="O26" s="392"/>
      <c r="P26" s="392"/>
      <c r="Q26" s="393"/>
      <c r="R26" s="393"/>
      <c r="S26" s="392"/>
      <c r="T26" s="413">
        <f t="shared" si="0"/>
        <v>0</v>
      </c>
      <c r="U26" s="80"/>
      <c r="V26" s="414"/>
      <c r="W26" s="404"/>
      <c r="X26" s="404" t="s">
        <v>544</v>
      </c>
      <c r="Y26" s="1"/>
      <c r="Z26" s="1"/>
      <c r="AA26" s="1"/>
      <c r="AB26" s="1"/>
      <c r="AC26" s="1"/>
    </row>
    <row r="27" spans="1:29" s="4" customFormat="1" ht="66.75" customHeight="1">
      <c r="A27" s="189">
        <v>7</v>
      </c>
      <c r="B27" s="415" t="s">
        <v>221</v>
      </c>
      <c r="C27" s="415"/>
      <c r="D27" s="415"/>
      <c r="E27" s="189">
        <v>1</v>
      </c>
      <c r="F27" s="147" t="s">
        <v>222</v>
      </c>
      <c r="G27" s="148" t="s">
        <v>169</v>
      </c>
      <c r="H27" s="149" t="s">
        <v>223</v>
      </c>
      <c r="I27" s="158">
        <v>1</v>
      </c>
      <c r="J27" s="150" t="s">
        <v>224</v>
      </c>
      <c r="K27" s="159" t="s">
        <v>225</v>
      </c>
      <c r="L27" s="395"/>
      <c r="M27" s="396"/>
      <c r="N27" s="396"/>
      <c r="O27" s="396"/>
      <c r="P27" s="393"/>
      <c r="Q27" s="399">
        <v>1567385</v>
      </c>
      <c r="R27" s="391"/>
      <c r="S27" s="392"/>
      <c r="T27" s="413">
        <f t="shared" si="0"/>
        <v>1567385</v>
      </c>
      <c r="U27" s="414"/>
      <c r="V27" s="414"/>
      <c r="W27" s="404"/>
      <c r="X27" s="404" t="s">
        <v>555</v>
      </c>
      <c r="Y27" s="1"/>
      <c r="Z27" s="1"/>
      <c r="AA27" s="1"/>
      <c r="AB27" s="1"/>
      <c r="AC27" s="1"/>
    </row>
    <row r="28" spans="1:29" s="4" customFormat="1" ht="77.25" customHeight="1">
      <c r="A28" s="189">
        <v>8</v>
      </c>
      <c r="B28" s="415" t="s">
        <v>227</v>
      </c>
      <c r="C28" s="415"/>
      <c r="D28" s="415"/>
      <c r="E28" s="189">
        <v>1</v>
      </c>
      <c r="F28" s="147" t="s">
        <v>228</v>
      </c>
      <c r="G28" s="148" t="s">
        <v>229</v>
      </c>
      <c r="H28" s="154" t="s">
        <v>230</v>
      </c>
      <c r="I28" s="161">
        <v>0.53</v>
      </c>
      <c r="J28" s="150" t="s">
        <v>231</v>
      </c>
      <c r="K28" s="159" t="s">
        <v>232</v>
      </c>
      <c r="L28" s="392"/>
      <c r="M28" s="396"/>
      <c r="N28" s="396"/>
      <c r="O28" s="396"/>
      <c r="P28" s="396"/>
      <c r="Q28" s="392"/>
      <c r="R28" s="392"/>
      <c r="S28" s="392"/>
      <c r="T28" s="413">
        <f t="shared" si="0"/>
        <v>0</v>
      </c>
      <c r="U28" s="414"/>
      <c r="V28" s="414"/>
      <c r="W28" s="404"/>
      <c r="X28" s="404" t="s">
        <v>545</v>
      </c>
      <c r="Y28" s="1"/>
      <c r="Z28" s="1"/>
      <c r="AA28" s="1"/>
      <c r="AB28" s="1"/>
      <c r="AC28" s="1"/>
    </row>
    <row r="29" spans="1:24" s="4" customFormat="1" ht="23.25" customHeight="1">
      <c r="A29" s="416" t="s">
        <v>100</v>
      </c>
      <c r="B29" s="417"/>
      <c r="C29" s="417"/>
      <c r="D29" s="417"/>
      <c r="E29" s="417"/>
      <c r="F29" s="417"/>
      <c r="G29" s="417"/>
      <c r="H29" s="417"/>
      <c r="I29" s="417"/>
      <c r="J29" s="417"/>
      <c r="K29" s="418"/>
      <c r="L29" s="397">
        <f>SUM(L15:L28)</f>
        <v>87607542</v>
      </c>
      <c r="M29" s="397">
        <f aca="true" t="shared" si="1" ref="M29:S29">SUM(M15:M28)</f>
        <v>100399</v>
      </c>
      <c r="N29" s="397">
        <f>SUM(N15:N28)</f>
        <v>580798360</v>
      </c>
      <c r="O29" s="397">
        <f t="shared" si="1"/>
        <v>172183440</v>
      </c>
      <c r="P29" s="397">
        <f t="shared" si="1"/>
        <v>300000000.12</v>
      </c>
      <c r="Q29" s="397">
        <f t="shared" si="1"/>
        <v>591705442.42</v>
      </c>
      <c r="R29" s="397">
        <f t="shared" si="1"/>
        <v>324968533.18</v>
      </c>
      <c r="S29" s="397">
        <f t="shared" si="1"/>
        <v>200184169.4</v>
      </c>
      <c r="T29" s="299">
        <f>SUM(T15:T28)</f>
        <v>2257547886.12</v>
      </c>
      <c r="W29" s="404"/>
      <c r="X29" s="404" t="s">
        <v>546</v>
      </c>
    </row>
    <row r="30" spans="1:24" s="4" customFormat="1" ht="23.25" customHeight="1">
      <c r="A30" s="416" t="s">
        <v>233</v>
      </c>
      <c r="B30" s="417"/>
      <c r="C30" s="417"/>
      <c r="D30" s="417"/>
      <c r="E30" s="417"/>
      <c r="F30" s="417"/>
      <c r="G30" s="417"/>
      <c r="H30" s="417"/>
      <c r="I30" s="417"/>
      <c r="J30" s="417"/>
      <c r="K30" s="418"/>
      <c r="L30" s="527">
        <f>+L29+M29+N29+O29+P29+Q29+R29+S29</f>
        <v>2257547886.12</v>
      </c>
      <c r="M30" s="528"/>
      <c r="N30" s="528"/>
      <c r="O30" s="528"/>
      <c r="P30" s="528"/>
      <c r="Q30" s="528"/>
      <c r="R30" s="528"/>
      <c r="S30" s="529"/>
      <c r="T30" s="299"/>
      <c r="W30" s="404"/>
      <c r="X30" s="404" t="s">
        <v>547</v>
      </c>
    </row>
    <row r="31" spans="1:24" s="4" customFormat="1" ht="23.25" customHeight="1">
      <c r="A31" s="428" t="s">
        <v>83</v>
      </c>
      <c r="B31" s="428"/>
      <c r="C31" s="428" t="s">
        <v>63</v>
      </c>
      <c r="D31" s="428"/>
      <c r="E31" s="428"/>
      <c r="F31" s="428"/>
      <c r="G31" s="428"/>
      <c r="H31" s="428"/>
      <c r="I31" s="119" t="s">
        <v>13</v>
      </c>
      <c r="J31" s="117"/>
      <c r="K31" s="97"/>
      <c r="L31" s="34"/>
      <c r="M31" s="34"/>
      <c r="N31" s="34"/>
      <c r="O31" s="34"/>
      <c r="P31" s="34"/>
      <c r="Q31" s="34"/>
      <c r="R31" s="34"/>
      <c r="S31" s="34"/>
      <c r="T31" s="299"/>
      <c r="W31" s="404"/>
      <c r="X31" s="404" t="s">
        <v>530</v>
      </c>
    </row>
    <row r="32" spans="1:24" s="4" customFormat="1" ht="66.75" customHeight="1">
      <c r="A32" s="448">
        <v>0</v>
      </c>
      <c r="B32" s="428"/>
      <c r="C32" s="468" t="s">
        <v>496</v>
      </c>
      <c r="D32" s="469"/>
      <c r="E32" s="469"/>
      <c r="F32" s="469"/>
      <c r="G32" s="469"/>
      <c r="H32" s="470"/>
      <c r="I32" s="163">
        <v>44185</v>
      </c>
      <c r="J32" s="118"/>
      <c r="K32" s="213" t="s">
        <v>261</v>
      </c>
      <c r="L32" s="367" t="s">
        <v>264</v>
      </c>
      <c r="M32" s="367" t="s">
        <v>262</v>
      </c>
      <c r="N32" s="367" t="s">
        <v>263</v>
      </c>
      <c r="O32" s="367" t="s">
        <v>123</v>
      </c>
      <c r="P32" s="367" t="s">
        <v>495</v>
      </c>
      <c r="Q32" s="291" t="s">
        <v>569</v>
      </c>
      <c r="R32" s="291" t="s">
        <v>568</v>
      </c>
      <c r="S32" s="292" t="s">
        <v>567</v>
      </c>
      <c r="T32" s="299"/>
      <c r="W32" s="404"/>
      <c r="X32" s="404" t="s">
        <v>554</v>
      </c>
    </row>
    <row r="33" spans="1:24" s="4" customFormat="1" ht="37.5" customHeight="1">
      <c r="A33" s="448">
        <v>1</v>
      </c>
      <c r="B33" s="428"/>
      <c r="C33" s="507" t="s">
        <v>509</v>
      </c>
      <c r="D33" s="508"/>
      <c r="E33" s="508"/>
      <c r="F33" s="508"/>
      <c r="G33" s="508"/>
      <c r="H33" s="509"/>
      <c r="I33" s="366">
        <v>44314</v>
      </c>
      <c r="J33" s="118"/>
      <c r="K33" s="125"/>
      <c r="L33" s="384">
        <v>87607542</v>
      </c>
      <c r="M33" s="385">
        <v>100399</v>
      </c>
      <c r="N33" s="385">
        <v>580798360</v>
      </c>
      <c r="O33" s="385">
        <v>172183440</v>
      </c>
      <c r="P33" s="385">
        <v>300000000.12</v>
      </c>
      <c r="Q33" s="384">
        <f>Q29</f>
        <v>591705442.42</v>
      </c>
      <c r="R33" s="384">
        <v>324968533.18</v>
      </c>
      <c r="S33" s="385">
        <f>S29</f>
        <v>200184169.4</v>
      </c>
      <c r="T33" s="299">
        <f>SUM(L33:S33)</f>
        <v>2257547886.12</v>
      </c>
      <c r="W33" s="404"/>
      <c r="X33" s="404" t="s">
        <v>553</v>
      </c>
    </row>
    <row r="34" spans="1:24" s="4" customFormat="1" ht="42" customHeight="1">
      <c r="A34" s="448">
        <v>2</v>
      </c>
      <c r="B34" s="428"/>
      <c r="C34" s="507" t="s">
        <v>528</v>
      </c>
      <c r="D34" s="508"/>
      <c r="E34" s="508"/>
      <c r="F34" s="508"/>
      <c r="G34" s="508"/>
      <c r="H34" s="509"/>
      <c r="I34" s="366">
        <v>44365</v>
      </c>
      <c r="J34" s="37"/>
      <c r="K34" s="125"/>
      <c r="L34" s="386"/>
      <c r="M34" s="387"/>
      <c r="N34" s="386"/>
      <c r="O34" s="387"/>
      <c r="P34" s="387"/>
      <c r="Q34" s="386"/>
      <c r="R34" s="386"/>
      <c r="S34" s="387"/>
      <c r="T34" s="299"/>
      <c r="W34" s="404"/>
      <c r="X34" s="404" t="s">
        <v>531</v>
      </c>
    </row>
    <row r="35" spans="1:24" s="4" customFormat="1" ht="42" customHeight="1">
      <c r="A35" s="448">
        <v>3</v>
      </c>
      <c r="B35" s="428"/>
      <c r="C35" s="507" t="s">
        <v>573</v>
      </c>
      <c r="D35" s="508"/>
      <c r="E35" s="508"/>
      <c r="F35" s="508"/>
      <c r="G35" s="508"/>
      <c r="H35" s="509"/>
      <c r="I35" s="366">
        <v>44420</v>
      </c>
      <c r="J35" s="37"/>
      <c r="K35" s="125"/>
      <c r="L35" s="387">
        <f>+L29-L33</f>
        <v>0</v>
      </c>
      <c r="M35" s="387">
        <f aca="true" t="shared" si="2" ref="M35:R35">+M29-M33</f>
        <v>0</v>
      </c>
      <c r="N35" s="387">
        <f t="shared" si="2"/>
        <v>0</v>
      </c>
      <c r="O35" s="387">
        <f t="shared" si="2"/>
        <v>0</v>
      </c>
      <c r="P35" s="387">
        <f t="shared" si="2"/>
        <v>0</v>
      </c>
      <c r="Q35" s="387">
        <f t="shared" si="2"/>
        <v>0</v>
      </c>
      <c r="R35" s="387">
        <f t="shared" si="2"/>
        <v>0</v>
      </c>
      <c r="S35" s="387">
        <f>+S29-S33</f>
        <v>0</v>
      </c>
      <c r="T35" s="387">
        <f>+T29-T33</f>
        <v>0</v>
      </c>
      <c r="W35" s="404"/>
      <c r="X35" s="404" t="s">
        <v>557</v>
      </c>
    </row>
    <row r="36" spans="1:24" s="4" customFormat="1" ht="42" customHeight="1">
      <c r="A36" s="448">
        <v>4</v>
      </c>
      <c r="B36" s="428"/>
      <c r="C36" s="507" t="s">
        <v>574</v>
      </c>
      <c r="D36" s="508"/>
      <c r="E36" s="508"/>
      <c r="F36" s="508"/>
      <c r="G36" s="508"/>
      <c r="H36" s="509"/>
      <c r="I36" s="366">
        <v>44420</v>
      </c>
      <c r="J36" s="37"/>
      <c r="K36" s="125"/>
      <c r="L36" s="387"/>
      <c r="M36" s="387"/>
      <c r="N36" s="387"/>
      <c r="O36" s="387"/>
      <c r="P36" s="387"/>
      <c r="Q36" s="387"/>
      <c r="R36" s="387"/>
      <c r="S36" s="387"/>
      <c r="T36" s="299"/>
      <c r="W36" s="404"/>
      <c r="X36" s="404" t="s">
        <v>557</v>
      </c>
    </row>
    <row r="37" spans="1:24" s="4" customFormat="1" ht="42" customHeight="1">
      <c r="A37" s="1"/>
      <c r="B37" s="271"/>
      <c r="C37" s="33"/>
      <c r="D37" s="37"/>
      <c r="E37" s="37"/>
      <c r="F37" s="37"/>
      <c r="G37" s="37"/>
      <c r="H37" s="37"/>
      <c r="I37" s="37"/>
      <c r="J37" s="37"/>
      <c r="K37" s="125"/>
      <c r="L37" s="387"/>
      <c r="M37" s="387"/>
      <c r="N37" s="387"/>
      <c r="O37" s="387"/>
      <c r="P37" s="387"/>
      <c r="Q37" s="387"/>
      <c r="R37" s="387"/>
      <c r="S37" s="387"/>
      <c r="T37" s="299"/>
      <c r="W37" s="404"/>
      <c r="X37" s="404"/>
    </row>
    <row r="38" spans="1:24" s="4" customFormat="1" ht="42" customHeight="1">
      <c r="A38" s="1"/>
      <c r="B38" s="271"/>
      <c r="C38" s="33"/>
      <c r="D38" s="37"/>
      <c r="E38" s="37"/>
      <c r="F38" s="37"/>
      <c r="G38" s="37"/>
      <c r="H38" s="37"/>
      <c r="I38" s="37"/>
      <c r="J38" s="37"/>
      <c r="K38" s="125"/>
      <c r="L38" s="387"/>
      <c r="M38" s="387"/>
      <c r="N38" s="387"/>
      <c r="O38" s="387"/>
      <c r="P38" s="387"/>
      <c r="Q38" s="387"/>
      <c r="R38" s="387"/>
      <c r="S38" s="387"/>
      <c r="T38" s="299"/>
      <c r="W38" s="404"/>
      <c r="X38" s="404"/>
    </row>
    <row r="39" spans="1:24" s="4" customFormat="1" ht="42" customHeight="1">
      <c r="A39" s="1"/>
      <c r="B39" s="272"/>
      <c r="C39" s="425" t="s">
        <v>10</v>
      </c>
      <c r="D39" s="426"/>
      <c r="E39" s="426"/>
      <c r="F39" s="427"/>
      <c r="G39" s="429" t="s">
        <v>84</v>
      </c>
      <c r="H39" s="429"/>
      <c r="I39" s="429"/>
      <c r="J39" s="115"/>
      <c r="K39" s="130"/>
      <c r="L39" s="388"/>
      <c r="M39" s="389"/>
      <c r="N39" s="389"/>
      <c r="O39" s="389"/>
      <c r="P39" s="389"/>
      <c r="Q39" s="388"/>
      <c r="R39" s="388"/>
      <c r="S39" s="389"/>
      <c r="T39" s="375"/>
      <c r="W39" s="404"/>
      <c r="X39" s="404" t="s">
        <v>558</v>
      </c>
    </row>
    <row r="40" spans="1:24" ht="42" customHeight="1">
      <c r="A40" s="424" t="s">
        <v>11</v>
      </c>
      <c r="B40" s="424"/>
      <c r="C40" s="517" t="s">
        <v>498</v>
      </c>
      <c r="D40" s="518"/>
      <c r="E40" s="518"/>
      <c r="F40" s="519"/>
      <c r="G40" s="457" t="s">
        <v>239</v>
      </c>
      <c r="H40" s="457"/>
      <c r="I40" s="457"/>
      <c r="J40" s="116"/>
      <c r="K40" s="131"/>
      <c r="L40" s="387"/>
      <c r="M40" s="387"/>
      <c r="N40" s="387"/>
      <c r="O40" s="387"/>
      <c r="P40" s="387"/>
      <c r="Q40" s="387"/>
      <c r="R40" s="387"/>
      <c r="S40" s="387"/>
      <c r="T40" s="375"/>
      <c r="W40" s="404"/>
      <c r="X40" s="404" t="s">
        <v>556</v>
      </c>
    </row>
    <row r="41" spans="1:24" ht="42" customHeight="1">
      <c r="A41" s="424" t="s">
        <v>12</v>
      </c>
      <c r="B41" s="424"/>
      <c r="C41" s="421" t="s">
        <v>240</v>
      </c>
      <c r="D41" s="422"/>
      <c r="E41" s="422"/>
      <c r="F41" s="423"/>
      <c r="G41" s="457" t="s">
        <v>241</v>
      </c>
      <c r="H41" s="457"/>
      <c r="I41" s="457"/>
      <c r="J41" s="116"/>
      <c r="K41" s="131"/>
      <c r="L41" s="388"/>
      <c r="M41" s="388"/>
      <c r="N41" s="388"/>
      <c r="O41" s="388"/>
      <c r="P41" s="388"/>
      <c r="Q41" s="388"/>
      <c r="R41" s="388"/>
      <c r="S41" s="388"/>
      <c r="T41" s="375"/>
      <c r="W41" s="404"/>
      <c r="X41" s="404" t="s">
        <v>532</v>
      </c>
    </row>
    <row r="42" spans="1:24" ht="42" customHeight="1">
      <c r="A42" s="424" t="s">
        <v>13</v>
      </c>
      <c r="B42" s="424"/>
      <c r="C42" s="467">
        <f>+I36</f>
        <v>44420</v>
      </c>
      <c r="D42" s="422"/>
      <c r="E42" s="422"/>
      <c r="F42" s="423"/>
      <c r="G42" s="503">
        <f>+C42</f>
        <v>44420</v>
      </c>
      <c r="H42" s="457"/>
      <c r="I42" s="457"/>
      <c r="J42" s="116"/>
      <c r="K42" s="131"/>
      <c r="L42" s="388"/>
      <c r="M42" s="388"/>
      <c r="N42" s="388"/>
      <c r="O42" s="388"/>
      <c r="P42" s="388"/>
      <c r="Q42" s="388"/>
      <c r="R42" s="388"/>
      <c r="S42" s="388"/>
      <c r="T42" s="375"/>
      <c r="W42" s="404"/>
      <c r="X42" s="404" t="s">
        <v>548</v>
      </c>
    </row>
    <row r="43" spans="12:24" ht="42" customHeight="1">
      <c r="L43" s="388"/>
      <c r="M43" s="388"/>
      <c r="N43" s="388"/>
      <c r="O43" s="388"/>
      <c r="P43" s="388"/>
      <c r="Q43" s="388"/>
      <c r="R43" s="388"/>
      <c r="S43" s="388"/>
      <c r="T43" s="375"/>
      <c r="W43" s="404"/>
      <c r="X43" s="404" t="s">
        <v>533</v>
      </c>
    </row>
    <row r="44" spans="12:24" ht="42" customHeight="1">
      <c r="L44" s="388"/>
      <c r="M44" s="388"/>
      <c r="N44" s="388"/>
      <c r="O44" s="388"/>
      <c r="P44" s="388"/>
      <c r="Q44" s="388"/>
      <c r="R44" s="388"/>
      <c r="S44" s="388"/>
      <c r="T44" s="375"/>
      <c r="W44" s="404"/>
      <c r="X44" s="404" t="s">
        <v>549</v>
      </c>
    </row>
    <row r="45" spans="12:24" ht="42" customHeight="1">
      <c r="L45" s="388"/>
      <c r="M45" s="388"/>
      <c r="N45" s="388"/>
      <c r="O45" s="388"/>
      <c r="P45" s="388"/>
      <c r="Q45" s="388"/>
      <c r="R45" s="388"/>
      <c r="S45" s="388"/>
      <c r="T45" s="375"/>
      <c r="W45" s="404"/>
      <c r="X45" s="404" t="s">
        <v>534</v>
      </c>
    </row>
    <row r="46" spans="12:24" ht="42" customHeight="1">
      <c r="L46" s="388"/>
      <c r="M46" s="388"/>
      <c r="N46" s="388"/>
      <c r="O46" s="388"/>
      <c r="P46" s="388"/>
      <c r="Q46" s="388"/>
      <c r="R46" s="388"/>
      <c r="S46" s="388"/>
      <c r="T46" s="375"/>
      <c r="W46" s="404"/>
      <c r="X46" s="404" t="s">
        <v>550</v>
      </c>
    </row>
    <row r="47" spans="12:24" ht="42" customHeight="1">
      <c r="L47" s="388"/>
      <c r="M47" s="388"/>
      <c r="N47" s="388"/>
      <c r="O47" s="388"/>
      <c r="P47" s="388"/>
      <c r="Q47" s="388"/>
      <c r="R47" s="388"/>
      <c r="S47" s="388"/>
      <c r="T47" s="375"/>
      <c r="W47" s="404"/>
      <c r="X47" s="404" t="s">
        <v>535</v>
      </c>
    </row>
    <row r="48" spans="12:24" ht="42" customHeight="1">
      <c r="L48" s="388"/>
      <c r="M48" s="388"/>
      <c r="N48" s="388"/>
      <c r="O48" s="388"/>
      <c r="P48" s="388"/>
      <c r="Q48" s="388"/>
      <c r="R48" s="388"/>
      <c r="S48" s="388"/>
      <c r="T48" s="375"/>
      <c r="W48" s="404"/>
      <c r="X48" s="404" t="s">
        <v>551</v>
      </c>
    </row>
    <row r="49" spans="12:24" ht="42" customHeight="1">
      <c r="L49" s="388"/>
      <c r="M49" s="388"/>
      <c r="N49" s="388"/>
      <c r="O49" s="388"/>
      <c r="P49" s="388"/>
      <c r="Q49" s="388"/>
      <c r="R49" s="388"/>
      <c r="S49" s="388"/>
      <c r="T49" s="375"/>
      <c r="W49" s="404"/>
      <c r="X49" s="404" t="s">
        <v>536</v>
      </c>
    </row>
    <row r="50" spans="20:24" ht="42" customHeight="1">
      <c r="T50" s="375"/>
      <c r="W50" s="404"/>
      <c r="X50" s="404" t="s">
        <v>566</v>
      </c>
    </row>
    <row r="51" spans="20:24" ht="42" customHeight="1">
      <c r="T51" s="375"/>
      <c r="W51" s="404"/>
      <c r="X51" s="404" t="s">
        <v>537</v>
      </c>
    </row>
    <row r="52" spans="20:24" ht="42" customHeight="1">
      <c r="T52" s="375"/>
      <c r="W52" s="404"/>
      <c r="X52" s="404" t="s">
        <v>552</v>
      </c>
    </row>
    <row r="53" spans="20:24" ht="42" customHeight="1">
      <c r="T53" s="375"/>
      <c r="W53" s="404"/>
      <c r="X53" s="404" t="s">
        <v>560</v>
      </c>
    </row>
    <row r="54" spans="20:24" ht="42" customHeight="1">
      <c r="T54" s="375"/>
      <c r="W54" s="404"/>
      <c r="X54" s="404" t="s">
        <v>561</v>
      </c>
    </row>
    <row r="55" ht="12.75">
      <c r="T55" s="375"/>
    </row>
    <row r="56" ht="12.75">
      <c r="T56" s="375"/>
    </row>
    <row r="57" ht="12.75">
      <c r="T57" s="375"/>
    </row>
    <row r="58" ht="12.75">
      <c r="T58" s="375"/>
    </row>
    <row r="59" ht="12.75">
      <c r="T59" s="375"/>
    </row>
    <row r="60" ht="12.75">
      <c r="T60" s="375"/>
    </row>
    <row r="61" ht="12.75">
      <c r="T61" s="375"/>
    </row>
    <row r="62" ht="12.75">
      <c r="T62" s="375"/>
    </row>
    <row r="63" ht="12.75">
      <c r="T63" s="375"/>
    </row>
    <row r="64" ht="12.75">
      <c r="T64" s="375"/>
    </row>
    <row r="65" ht="12.75">
      <c r="T65" s="375"/>
    </row>
    <row r="66" ht="12.75">
      <c r="T66" s="375"/>
    </row>
    <row r="67" ht="12.75">
      <c r="T67" s="375"/>
    </row>
    <row r="68" ht="12.75">
      <c r="T68" s="375"/>
    </row>
    <row r="69" ht="12.75">
      <c r="T69" s="375"/>
    </row>
    <row r="70" ht="12.75">
      <c r="T70" s="375"/>
    </row>
    <row r="71" ht="12.75">
      <c r="T71" s="375"/>
    </row>
    <row r="72" ht="12.75">
      <c r="T72" s="375"/>
    </row>
    <row r="73" ht="12.75">
      <c r="T73" s="375"/>
    </row>
    <row r="74" ht="12.75">
      <c r="T74" s="375"/>
    </row>
    <row r="75" ht="12.75">
      <c r="T75" s="375"/>
    </row>
  </sheetData>
  <sheetProtection formatRows="0"/>
  <mergeCells count="67">
    <mergeCell ref="L13:S13"/>
    <mergeCell ref="L30:S30"/>
    <mergeCell ref="A34:B34"/>
    <mergeCell ref="C34:H34"/>
    <mergeCell ref="D7:G7"/>
    <mergeCell ref="A12:G12"/>
    <mergeCell ref="A9:C10"/>
    <mergeCell ref="D9:G10"/>
    <mergeCell ref="K25:K26"/>
    <mergeCell ref="J6:S11"/>
    <mergeCell ref="K1:S1"/>
    <mergeCell ref="K2:S2"/>
    <mergeCell ref="C3:J4"/>
    <mergeCell ref="K3:Q3"/>
    <mergeCell ref="K4:Q4"/>
    <mergeCell ref="A11:G11"/>
    <mergeCell ref="A1:B4"/>
    <mergeCell ref="C1:J2"/>
    <mergeCell ref="A8:C8"/>
    <mergeCell ref="D8:G8"/>
    <mergeCell ref="A5:S5"/>
    <mergeCell ref="A6:C6"/>
    <mergeCell ref="D6:G6"/>
    <mergeCell ref="A7:C7"/>
    <mergeCell ref="A13:A14"/>
    <mergeCell ref="B13:D14"/>
    <mergeCell ref="E13:E14"/>
    <mergeCell ref="F13:F14"/>
    <mergeCell ref="G13:G14"/>
    <mergeCell ref="J13:K13"/>
    <mergeCell ref="C32:H32"/>
    <mergeCell ref="B21:D21"/>
    <mergeCell ref="B22:D22"/>
    <mergeCell ref="B24:D24"/>
    <mergeCell ref="H13:I13"/>
    <mergeCell ref="B23:D23"/>
    <mergeCell ref="I15:I20"/>
    <mergeCell ref="A36:B36"/>
    <mergeCell ref="K15:K20"/>
    <mergeCell ref="G39:I39"/>
    <mergeCell ref="B27:D27"/>
    <mergeCell ref="B28:D28"/>
    <mergeCell ref="A29:K29"/>
    <mergeCell ref="A30:K30"/>
    <mergeCell ref="A31:B31"/>
    <mergeCell ref="C31:H31"/>
    <mergeCell ref="A32:B32"/>
    <mergeCell ref="A35:B35"/>
    <mergeCell ref="A33:B33"/>
    <mergeCell ref="C33:H33"/>
    <mergeCell ref="C39:F39"/>
    <mergeCell ref="A42:B42"/>
    <mergeCell ref="C42:F42"/>
    <mergeCell ref="G42:I42"/>
    <mergeCell ref="A40:B40"/>
    <mergeCell ref="C40:F40"/>
    <mergeCell ref="G40:I40"/>
    <mergeCell ref="C35:H35"/>
    <mergeCell ref="C36:H36"/>
    <mergeCell ref="A15:A20"/>
    <mergeCell ref="B15:D20"/>
    <mergeCell ref="A41:B41"/>
    <mergeCell ref="C41:F41"/>
    <mergeCell ref="G41:I41"/>
    <mergeCell ref="A25:A26"/>
    <mergeCell ref="B25:D26"/>
    <mergeCell ref="I25:I26"/>
  </mergeCells>
  <dataValidations count="3">
    <dataValidation type="list" allowBlank="1" showInputMessage="1" showErrorMessage="1" sqref="L32:O32">
      <formula1>$AA$6:$AA$70</formula1>
    </dataValidation>
    <dataValidation type="list" allowBlank="1" showInputMessage="1" showErrorMessage="1" prompt=" - " sqref="P32">
      <formula1>$V$6:$V$71</formula1>
    </dataValidation>
    <dataValidation type="list" allowBlank="1" showInputMessage="1" showErrorMessage="1" sqref="L14:S14">
      <formula1>$X$14:$X$54</formula1>
    </dataValidation>
  </dataValidations>
  <printOptions horizontalCentered="1" verticalCentered="1"/>
  <pageMargins left="0.15748031496062992" right="0.03937007874015748" top="0.15748031496062992" bottom="0.15748031496062992" header="0" footer="0"/>
  <pageSetup horizontalDpi="600" verticalDpi="600" orientation="landscape" paperSize="122" scale="5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66.57421875" style="0" bestFit="1" customWidth="1"/>
    <col min="2" max="2" width="15.57421875" style="0" customWidth="1"/>
    <col min="3" max="3" width="19.421875" style="0" customWidth="1"/>
    <col min="4" max="4" width="28.00390625" style="0" customWidth="1"/>
    <col min="5" max="5" width="21.421875" style="0" customWidth="1"/>
    <col min="6" max="6" width="29.00390625" style="0" customWidth="1"/>
    <col min="7" max="7" width="42.7109375" style="330" customWidth="1"/>
    <col min="8" max="8" width="16.57421875" style="0" bestFit="1" customWidth="1"/>
    <col min="9" max="9" width="13.8515625" style="0" bestFit="1" customWidth="1"/>
    <col min="10" max="10" width="15.8515625" style="0" bestFit="1" customWidth="1"/>
  </cols>
  <sheetData>
    <row r="1" spans="1:8" ht="101.25">
      <c r="A1" s="200"/>
      <c r="B1" s="200" t="s">
        <v>264</v>
      </c>
      <c r="C1" s="200" t="s">
        <v>262</v>
      </c>
      <c r="D1" s="200" t="s">
        <v>263</v>
      </c>
      <c r="E1" s="200" t="s">
        <v>123</v>
      </c>
      <c r="F1" s="200" t="s">
        <v>495</v>
      </c>
      <c r="G1" s="332" t="s">
        <v>494</v>
      </c>
      <c r="H1" s="315"/>
    </row>
    <row r="2" spans="1:8" ht="12.75">
      <c r="A2" s="318"/>
      <c r="B2" s="318"/>
      <c r="C2" s="318"/>
      <c r="D2" s="318"/>
      <c r="E2" s="318"/>
      <c r="F2" s="320">
        <v>261693509</v>
      </c>
      <c r="G2" s="325"/>
      <c r="H2" s="315">
        <f>SUM(B2:F2)</f>
        <v>261693509</v>
      </c>
    </row>
    <row r="3" spans="1:8" ht="25.5">
      <c r="A3" s="306" t="s">
        <v>486</v>
      </c>
      <c r="B3" s="306"/>
      <c r="C3" s="306"/>
      <c r="D3" s="306"/>
      <c r="E3" s="306"/>
      <c r="F3" s="309">
        <f>ROUND('POA H.B.'!K22+'POA H.B.'!K23+'POA H.B.'!K24+'POA H.B.'!K25,0)</f>
        <v>112119039</v>
      </c>
      <c r="G3" s="331" t="s">
        <v>492</v>
      </c>
      <c r="H3" s="315"/>
    </row>
    <row r="4" spans="1:8" ht="63.75">
      <c r="A4" s="307" t="s">
        <v>315</v>
      </c>
      <c r="B4" s="307"/>
      <c r="C4" s="307"/>
      <c r="D4" s="306"/>
      <c r="E4" s="306"/>
      <c r="F4" s="309">
        <v>25100000</v>
      </c>
      <c r="G4" s="326" t="s">
        <v>490</v>
      </c>
      <c r="H4" s="315"/>
    </row>
    <row r="5" spans="1:8" ht="25.5">
      <c r="A5" s="311" t="s">
        <v>318</v>
      </c>
      <c r="B5" s="311"/>
      <c r="C5" s="311"/>
      <c r="D5" s="306"/>
      <c r="E5" s="306"/>
      <c r="F5" s="309">
        <v>114214664</v>
      </c>
      <c r="G5" s="331" t="s">
        <v>491</v>
      </c>
      <c r="H5" s="315"/>
    </row>
    <row r="6" spans="1:8" ht="12.75">
      <c r="A6" s="318"/>
      <c r="B6" s="318"/>
      <c r="C6" s="318"/>
      <c r="D6" s="319">
        <v>290918317</v>
      </c>
      <c r="E6" s="318"/>
      <c r="F6" s="318"/>
      <c r="G6" s="327"/>
      <c r="H6" s="315">
        <f>SUM(B6:F6)</f>
        <v>290918317</v>
      </c>
    </row>
    <row r="7" spans="1:8" ht="25.5">
      <c r="A7" s="306" t="s">
        <v>487</v>
      </c>
      <c r="B7" s="306"/>
      <c r="C7" s="306"/>
      <c r="D7" s="312">
        <f>ROUND('POA H.B.'!K26+'POA H.B.'!K27+'POA H.B.'!K28+'POA H.B.'!K29+'POA H.B.'!K30,0)</f>
        <v>167299607</v>
      </c>
      <c r="E7" s="306"/>
      <c r="F7" s="306"/>
      <c r="G7" s="331" t="s">
        <v>492</v>
      </c>
      <c r="H7" s="315"/>
    </row>
    <row r="8" spans="1:8" ht="63.75">
      <c r="A8" s="307" t="s">
        <v>316</v>
      </c>
      <c r="B8" s="307"/>
      <c r="C8" s="307"/>
      <c r="D8" s="312">
        <v>25100000</v>
      </c>
      <c r="E8" s="306"/>
      <c r="F8" s="306"/>
      <c r="G8" s="326" t="s">
        <v>490</v>
      </c>
      <c r="H8" s="315"/>
    </row>
    <row r="9" spans="1:8" ht="21.75" customHeight="1">
      <c r="A9" s="311" t="s">
        <v>329</v>
      </c>
      <c r="B9" s="311"/>
      <c r="C9" s="311"/>
      <c r="D9" s="312">
        <v>50200000</v>
      </c>
      <c r="E9" s="306"/>
      <c r="F9" s="306"/>
      <c r="G9" s="331" t="s">
        <v>491</v>
      </c>
      <c r="H9" s="315"/>
    </row>
    <row r="10" spans="1:8" ht="25.5">
      <c r="A10" s="311" t="s">
        <v>320</v>
      </c>
      <c r="B10" s="311"/>
      <c r="C10" s="311"/>
      <c r="D10" s="312">
        <v>20080000</v>
      </c>
      <c r="E10" s="306"/>
      <c r="F10" s="306"/>
      <c r="G10" s="331" t="s">
        <v>491</v>
      </c>
      <c r="H10" s="315"/>
    </row>
    <row r="11" spans="1:8" ht="25.5">
      <c r="A11" s="311" t="s">
        <v>321</v>
      </c>
      <c r="B11" s="311"/>
      <c r="C11" s="311"/>
      <c r="D11" s="312">
        <v>15060000</v>
      </c>
      <c r="E11" s="306"/>
      <c r="F11" s="306"/>
      <c r="G11" s="331" t="s">
        <v>491</v>
      </c>
      <c r="H11" s="315"/>
    </row>
    <row r="12" spans="1:8" ht="25.5">
      <c r="A12" s="311" t="s">
        <v>322</v>
      </c>
      <c r="B12" s="311"/>
      <c r="C12" s="311"/>
      <c r="D12" s="312">
        <v>4016000</v>
      </c>
      <c r="E12" s="306"/>
      <c r="F12" s="306"/>
      <c r="G12" s="331" t="s">
        <v>491</v>
      </c>
      <c r="H12" s="315"/>
    </row>
    <row r="13" spans="1:8" ht="25.5">
      <c r="A13" s="311" t="s">
        <v>323</v>
      </c>
      <c r="B13" s="311"/>
      <c r="C13" s="311"/>
      <c r="D13" s="312">
        <v>8032000</v>
      </c>
      <c r="E13" s="306"/>
      <c r="F13" s="306"/>
      <c r="G13" s="331" t="s">
        <v>491</v>
      </c>
      <c r="H13" s="315"/>
    </row>
    <row r="14" spans="1:8" ht="12.75">
      <c r="A14" s="316"/>
      <c r="B14" s="322">
        <f>73855277+10040000</f>
        <v>83895277</v>
      </c>
      <c r="C14" s="321">
        <f>100399</f>
        <v>100399</v>
      </c>
      <c r="D14" s="321">
        <v>220488081</v>
      </c>
      <c r="E14" s="321">
        <v>172183440</v>
      </c>
      <c r="F14" s="321">
        <f>38306491-10040000</f>
        <v>28266491</v>
      </c>
      <c r="G14" s="328"/>
      <c r="H14" s="315">
        <f>SUM(B14:F14)</f>
        <v>504933688</v>
      </c>
    </row>
    <row r="15" spans="1:8" ht="12.75">
      <c r="A15" s="311" t="s">
        <v>488</v>
      </c>
      <c r="B15" s="312"/>
      <c r="C15" s="312"/>
      <c r="D15" s="312">
        <v>171605688</v>
      </c>
      <c r="E15" s="312"/>
      <c r="F15" s="312"/>
      <c r="G15" s="331" t="s">
        <v>492</v>
      </c>
      <c r="H15" s="315"/>
    </row>
    <row r="16" spans="1:10" ht="25.5">
      <c r="A16" s="311" t="s">
        <v>317</v>
      </c>
      <c r="B16" s="312"/>
      <c r="C16" s="312"/>
      <c r="D16" s="312"/>
      <c r="E16" s="312">
        <v>122333509</v>
      </c>
      <c r="F16" s="312">
        <v>28266491</v>
      </c>
      <c r="G16" s="331" t="s">
        <v>493</v>
      </c>
      <c r="H16" s="315"/>
      <c r="I16" s="312"/>
      <c r="J16" s="310"/>
    </row>
    <row r="17" spans="1:9" ht="25.5">
      <c r="A17" s="311" t="s">
        <v>313</v>
      </c>
      <c r="B17" s="312">
        <v>83895277</v>
      </c>
      <c r="C17" s="312"/>
      <c r="D17" s="312">
        <v>16504723</v>
      </c>
      <c r="E17" s="312"/>
      <c r="F17" s="312"/>
      <c r="G17" s="331" t="s">
        <v>491</v>
      </c>
      <c r="H17" s="315"/>
      <c r="I17" s="313"/>
    </row>
    <row r="18" spans="1:8" ht="25.5">
      <c r="A18" s="311" t="s">
        <v>324</v>
      </c>
      <c r="B18" s="312"/>
      <c r="C18" s="312"/>
      <c r="D18" s="312"/>
      <c r="E18" s="312">
        <v>2008000</v>
      </c>
      <c r="F18" s="312"/>
      <c r="G18" s="331" t="s">
        <v>491</v>
      </c>
      <c r="H18" s="315"/>
    </row>
    <row r="19" spans="1:9" ht="25.5">
      <c r="A19" s="311" t="s">
        <v>325</v>
      </c>
      <c r="B19" s="312"/>
      <c r="C19" s="312">
        <v>100399</v>
      </c>
      <c r="D19" s="312">
        <v>2257670</v>
      </c>
      <c r="E19" s="312">
        <v>17721931</v>
      </c>
      <c r="F19" s="312"/>
      <c r="G19" s="331" t="s">
        <v>491</v>
      </c>
      <c r="H19" s="315"/>
      <c r="I19" s="305"/>
    </row>
    <row r="20" spans="1:9" ht="25.5">
      <c r="A20" s="311" t="s">
        <v>330</v>
      </c>
      <c r="B20" s="312"/>
      <c r="C20" s="312"/>
      <c r="D20" s="312">
        <v>30120000</v>
      </c>
      <c r="E20" s="312"/>
      <c r="F20" s="312"/>
      <c r="G20" s="331" t="s">
        <v>491</v>
      </c>
      <c r="H20" s="315"/>
      <c r="I20" s="305"/>
    </row>
    <row r="21" spans="1:9" ht="25.5">
      <c r="A21" s="311" t="s">
        <v>331</v>
      </c>
      <c r="B21" s="312"/>
      <c r="C21" s="312"/>
      <c r="D21" s="312"/>
      <c r="E21" s="308">
        <v>30120000</v>
      </c>
      <c r="F21" s="312"/>
      <c r="G21" s="331" t="s">
        <v>491</v>
      </c>
      <c r="H21" s="315"/>
      <c r="I21" s="305"/>
    </row>
    <row r="22" spans="1:8" ht="12.75">
      <c r="A22" s="316"/>
      <c r="B22" s="316"/>
      <c r="C22" s="316"/>
      <c r="D22" s="316"/>
      <c r="E22" s="316"/>
      <c r="F22" s="321">
        <v>10040000</v>
      </c>
      <c r="G22" s="328"/>
      <c r="H22" s="315">
        <f>SUM(B22:F22)</f>
        <v>10040000</v>
      </c>
    </row>
    <row r="23" spans="1:8" ht="25.5">
      <c r="A23" s="311" t="s">
        <v>319</v>
      </c>
      <c r="B23" s="314"/>
      <c r="C23" s="306"/>
      <c r="D23" s="306"/>
      <c r="E23" s="306"/>
      <c r="F23" s="151">
        <v>10040000</v>
      </c>
      <c r="G23" s="331" t="s">
        <v>491</v>
      </c>
      <c r="H23" s="315"/>
    </row>
    <row r="24" spans="1:8" ht="12.75">
      <c r="A24" s="318"/>
      <c r="B24" s="318"/>
      <c r="C24" s="318"/>
      <c r="D24" s="324">
        <v>69391962</v>
      </c>
      <c r="E24" s="318"/>
      <c r="F24" s="317"/>
      <c r="G24" s="329"/>
      <c r="H24" s="315">
        <f>SUM(B24:F24)</f>
        <v>69391962</v>
      </c>
    </row>
    <row r="25" spans="1:8" ht="12.75">
      <c r="A25" s="311" t="s">
        <v>489</v>
      </c>
      <c r="B25" s="306"/>
      <c r="C25" s="306"/>
      <c r="D25" s="323">
        <f>'POA H.B.'!K35+'POA H.B.'!K36</f>
        <v>41923024</v>
      </c>
      <c r="E25" s="306"/>
      <c r="F25" s="306"/>
      <c r="G25" s="331" t="s">
        <v>492</v>
      </c>
      <c r="H25" s="315"/>
    </row>
    <row r="26" spans="1:8" ht="12.75">
      <c r="A26" s="318"/>
      <c r="B26" s="324">
        <v>3712265</v>
      </c>
      <c r="C26" s="318"/>
      <c r="D26" s="324"/>
      <c r="E26" s="318"/>
      <c r="F26" s="317"/>
      <c r="G26" s="329"/>
      <c r="H26" s="315">
        <f>SUM(B26:F26)</f>
        <v>3712265</v>
      </c>
    </row>
    <row r="27" spans="1:8" ht="25.5">
      <c r="A27" s="311" t="s">
        <v>328</v>
      </c>
      <c r="B27" s="323">
        <v>3712265.4816088676</v>
      </c>
      <c r="C27" s="306"/>
      <c r="D27" s="323"/>
      <c r="E27" s="306"/>
      <c r="F27" s="306"/>
      <c r="G27" s="331" t="s">
        <v>491</v>
      </c>
      <c r="H27" s="315"/>
    </row>
  </sheetData>
  <sheetProtection/>
  <dataValidations count="2">
    <dataValidation type="list" allowBlank="1" showInputMessage="1" showErrorMessage="1" sqref="B1:E1">
      <formula1>$Y$5:$Y$51</formula1>
    </dataValidation>
    <dataValidation type="list" allowBlank="1" showInputMessage="1" showErrorMessage="1" prompt=" - " sqref="F1">
      <formula1>$S$6:$S$66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12"/>
  <sheetViews>
    <sheetView zoomScaleSheetLayoutView="100" zoomScalePageLayoutView="0" workbookViewId="0" topLeftCell="A64">
      <selection activeCell="G85" sqref="G85"/>
    </sheetView>
  </sheetViews>
  <sheetFormatPr defaultColWidth="11.421875" defaultRowHeight="12.75"/>
  <cols>
    <col min="1" max="2" width="34.28125" style="1" customWidth="1"/>
    <col min="3" max="3" width="18.00390625" style="1" customWidth="1"/>
    <col min="4" max="4" width="13.7109375" style="11" customWidth="1"/>
    <col min="5" max="5" width="14.421875" style="12" customWidth="1"/>
    <col min="6" max="6" width="19.00390625" style="13" customWidth="1"/>
    <col min="7" max="8" width="17.7109375" style="12" customWidth="1"/>
    <col min="9" max="9" width="5.7109375" style="5" customWidth="1"/>
    <col min="10" max="10" width="7.00390625" style="5" customWidth="1"/>
    <col min="11" max="11" width="6.7109375" style="5" customWidth="1"/>
    <col min="12" max="19" width="5.7109375" style="5" customWidth="1"/>
    <col min="20" max="20" width="6.28125" style="5" customWidth="1"/>
    <col min="21" max="30" width="11.421875" style="1" hidden="1" customWidth="1"/>
    <col min="31" max="16384" width="11.421875" style="1" customWidth="1"/>
  </cols>
  <sheetData>
    <row r="1" spans="1:20" ht="34.5" customHeight="1">
      <c r="A1" s="620"/>
      <c r="B1" s="137"/>
      <c r="C1" s="633" t="s">
        <v>14</v>
      </c>
      <c r="D1" s="634"/>
      <c r="E1" s="634"/>
      <c r="F1" s="634"/>
      <c r="G1" s="634"/>
      <c r="H1" s="634"/>
      <c r="I1" s="634"/>
      <c r="J1" s="634"/>
      <c r="K1" s="634"/>
      <c r="L1" s="634"/>
      <c r="M1" s="656" t="s">
        <v>92</v>
      </c>
      <c r="N1" s="657"/>
      <c r="O1" s="657"/>
      <c r="P1" s="657"/>
      <c r="Q1" s="657"/>
      <c r="R1" s="657"/>
      <c r="S1" s="657"/>
      <c r="T1" s="658"/>
    </row>
    <row r="2" spans="1:20" ht="25.5" customHeight="1">
      <c r="A2" s="621"/>
      <c r="B2" s="138"/>
      <c r="C2" s="635"/>
      <c r="D2" s="636"/>
      <c r="E2" s="636"/>
      <c r="F2" s="636"/>
      <c r="G2" s="636"/>
      <c r="H2" s="636"/>
      <c r="I2" s="636"/>
      <c r="J2" s="636"/>
      <c r="K2" s="636"/>
      <c r="L2" s="636"/>
      <c r="M2" s="659" t="s">
        <v>51</v>
      </c>
      <c r="N2" s="660"/>
      <c r="O2" s="660"/>
      <c r="P2" s="660"/>
      <c r="Q2" s="660"/>
      <c r="R2" s="660"/>
      <c r="S2" s="660"/>
      <c r="T2" s="661"/>
    </row>
    <row r="3" spans="1:20" ht="19.5" customHeight="1">
      <c r="A3" s="621"/>
      <c r="B3" s="138"/>
      <c r="C3" s="627" t="s">
        <v>50</v>
      </c>
      <c r="D3" s="628"/>
      <c r="E3" s="628"/>
      <c r="F3" s="628"/>
      <c r="G3" s="628"/>
      <c r="H3" s="628"/>
      <c r="I3" s="628"/>
      <c r="J3" s="628"/>
      <c r="K3" s="628"/>
      <c r="L3" s="629"/>
      <c r="M3" s="456" t="s">
        <v>52</v>
      </c>
      <c r="N3" s="456"/>
      <c r="O3" s="456"/>
      <c r="P3" s="456"/>
      <c r="Q3" s="637" t="s">
        <v>65</v>
      </c>
      <c r="R3" s="637"/>
      <c r="S3" s="637"/>
      <c r="T3" s="638"/>
    </row>
    <row r="4" spans="1:20" ht="21.75" customHeight="1" thickBot="1">
      <c r="A4" s="621"/>
      <c r="B4" s="138"/>
      <c r="C4" s="630"/>
      <c r="D4" s="631"/>
      <c r="E4" s="631"/>
      <c r="F4" s="631"/>
      <c r="G4" s="631"/>
      <c r="H4" s="631"/>
      <c r="I4" s="631"/>
      <c r="J4" s="631"/>
      <c r="K4" s="631"/>
      <c r="L4" s="632"/>
      <c r="M4" s="614" t="str">
        <f>+'POA H.A.'!K4</f>
        <v>Versión 2</v>
      </c>
      <c r="N4" s="615"/>
      <c r="O4" s="615"/>
      <c r="P4" s="616"/>
      <c r="Q4" s="617">
        <f>+'POA H.A.'!O4</f>
        <v>44015</v>
      </c>
      <c r="R4" s="618"/>
      <c r="S4" s="618"/>
      <c r="T4" s="619"/>
    </row>
    <row r="5" spans="1:20" ht="12.75" customHeight="1">
      <c r="A5" s="639" t="s">
        <v>53</v>
      </c>
      <c r="B5" s="640"/>
      <c r="C5" s="641"/>
      <c r="D5" s="641"/>
      <c r="E5" s="641"/>
      <c r="F5" s="641"/>
      <c r="G5" s="641"/>
      <c r="H5" s="641"/>
      <c r="I5" s="641"/>
      <c r="J5" s="641"/>
      <c r="K5" s="641"/>
      <c r="L5" s="641"/>
      <c r="M5" s="641"/>
      <c r="N5" s="641"/>
      <c r="O5" s="641"/>
      <c r="P5" s="641"/>
      <c r="Q5" s="641"/>
      <c r="R5" s="641"/>
      <c r="S5" s="641"/>
      <c r="T5" s="642"/>
    </row>
    <row r="6" spans="1:20" ht="12.75" customHeight="1" thickBot="1">
      <c r="A6" s="643"/>
      <c r="B6" s="644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5"/>
      <c r="R6" s="645"/>
      <c r="S6" s="645"/>
      <c r="T6" s="646"/>
    </row>
    <row r="7" spans="1:20" ht="18" customHeight="1">
      <c r="A7" s="662" t="s">
        <v>258</v>
      </c>
      <c r="B7" s="662"/>
      <c r="C7" s="662"/>
      <c r="D7" s="662"/>
      <c r="E7" s="662"/>
      <c r="F7" s="662"/>
      <c r="G7" s="662"/>
      <c r="H7" s="662"/>
      <c r="I7" s="662"/>
      <c r="J7" s="662"/>
      <c r="K7" s="662"/>
      <c r="L7" s="662"/>
      <c r="M7" s="662"/>
      <c r="N7" s="662"/>
      <c r="O7" s="662"/>
      <c r="P7" s="662"/>
      <c r="Q7" s="662"/>
      <c r="R7" s="662"/>
      <c r="S7" s="662"/>
      <c r="T7" s="662"/>
    </row>
    <row r="8" spans="1:20" ht="13.5" thickBot="1">
      <c r="A8" s="662"/>
      <c r="B8" s="662"/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2"/>
      <c r="T8" s="662"/>
    </row>
    <row r="9" spans="1:20" s="39" customFormat="1" ht="18" customHeight="1">
      <c r="A9" s="604" t="s">
        <v>85</v>
      </c>
      <c r="B9" s="605"/>
      <c r="C9" s="605"/>
      <c r="D9" s="605"/>
      <c r="E9" s="605"/>
      <c r="F9" s="605"/>
      <c r="G9" s="605"/>
      <c r="H9" s="226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1"/>
    </row>
    <row r="10" spans="1:20" ht="12.75" customHeight="1">
      <c r="A10" s="622" t="s">
        <v>82</v>
      </c>
      <c r="B10" s="623"/>
      <c r="C10" s="623"/>
      <c r="D10" s="573" t="s">
        <v>81</v>
      </c>
      <c r="E10" s="573" t="s">
        <v>78</v>
      </c>
      <c r="F10" s="606" t="s">
        <v>17</v>
      </c>
      <c r="G10" s="606" t="s">
        <v>79</v>
      </c>
      <c r="H10" s="227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85"/>
    </row>
    <row r="11" spans="1:20" ht="12.75">
      <c r="A11" s="553"/>
      <c r="B11" s="554"/>
      <c r="C11" s="554"/>
      <c r="D11" s="573"/>
      <c r="E11" s="573"/>
      <c r="F11" s="606"/>
      <c r="G11" s="606"/>
      <c r="H11" s="227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86"/>
    </row>
    <row r="12" spans="1:20" ht="12.75">
      <c r="A12" s="547" t="s">
        <v>80</v>
      </c>
      <c r="B12" s="548"/>
      <c r="C12" s="549"/>
      <c r="D12" s="44"/>
      <c r="E12" s="164"/>
      <c r="F12" s="165"/>
      <c r="G12" s="45"/>
      <c r="H12" s="227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86"/>
    </row>
    <row r="13" spans="1:20" ht="12.75">
      <c r="A13" s="547" t="s">
        <v>74</v>
      </c>
      <c r="B13" s="548"/>
      <c r="C13" s="548"/>
      <c r="D13" s="46"/>
      <c r="E13" s="164">
        <v>16</v>
      </c>
      <c r="F13" s="165">
        <v>1</v>
      </c>
      <c r="G13" s="47"/>
      <c r="H13" s="22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87"/>
    </row>
    <row r="14" spans="1:20" ht="12.75">
      <c r="A14" s="547" t="s">
        <v>75</v>
      </c>
      <c r="B14" s="548"/>
      <c r="C14" s="548"/>
      <c r="D14" s="46"/>
      <c r="E14" s="164">
        <v>8</v>
      </c>
      <c r="F14" s="165">
        <v>2</v>
      </c>
      <c r="G14" s="47"/>
      <c r="H14" s="22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87"/>
    </row>
    <row r="15" spans="1:20" ht="12.75">
      <c r="A15" s="547" t="s">
        <v>76</v>
      </c>
      <c r="B15" s="548"/>
      <c r="C15" s="548"/>
      <c r="D15" s="46"/>
      <c r="E15" s="164">
        <v>12</v>
      </c>
      <c r="F15" s="165">
        <v>1</v>
      </c>
      <c r="G15" s="47"/>
      <c r="H15" s="22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87"/>
    </row>
    <row r="16" spans="1:20" ht="12.75">
      <c r="A16" s="547" t="s">
        <v>76</v>
      </c>
      <c r="B16" s="548"/>
      <c r="C16" s="548"/>
      <c r="D16" s="146"/>
      <c r="E16" s="164">
        <v>10</v>
      </c>
      <c r="F16" s="165">
        <v>1</v>
      </c>
      <c r="G16" s="47"/>
      <c r="H16" s="22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87"/>
    </row>
    <row r="17" spans="1:20" ht="12.75">
      <c r="A17" s="547" t="s">
        <v>77</v>
      </c>
      <c r="B17" s="548"/>
      <c r="C17" s="548"/>
      <c r="D17" s="46"/>
      <c r="E17" s="248">
        <v>1.05</v>
      </c>
      <c r="F17" s="225"/>
      <c r="G17" s="47"/>
      <c r="H17" s="228"/>
      <c r="I17" s="48"/>
      <c r="J17" s="221"/>
      <c r="K17" s="48"/>
      <c r="L17" s="48"/>
      <c r="M17" s="48"/>
      <c r="N17" s="48"/>
      <c r="O17" s="48"/>
      <c r="P17" s="48"/>
      <c r="Q17" s="48"/>
      <c r="R17" s="48"/>
      <c r="S17" s="48"/>
      <c r="T17" s="87"/>
    </row>
    <row r="18" spans="1:20" ht="13.5" thickBot="1">
      <c r="A18" s="556" t="s">
        <v>29</v>
      </c>
      <c r="B18" s="557"/>
      <c r="C18" s="557"/>
      <c r="D18" s="557"/>
      <c r="E18" s="557"/>
      <c r="F18" s="558"/>
      <c r="G18" s="56">
        <f>SUM(G12:G17)</f>
        <v>0</v>
      </c>
      <c r="H18" s="229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9"/>
    </row>
    <row r="19" spans="1:20" ht="18.75" customHeight="1">
      <c r="A19" s="609" t="s">
        <v>165</v>
      </c>
      <c r="B19" s="610"/>
      <c r="C19" s="610"/>
      <c r="D19" s="610"/>
      <c r="E19" s="610"/>
      <c r="F19" s="610"/>
      <c r="G19" s="610"/>
      <c r="H19" s="230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50"/>
    </row>
    <row r="20" spans="1:20" s="7" customFormat="1" ht="11.25" customHeight="1">
      <c r="A20" s="663" t="s">
        <v>163</v>
      </c>
      <c r="B20" s="573" t="s">
        <v>16</v>
      </c>
      <c r="C20" s="573" t="s">
        <v>164</v>
      </c>
      <c r="D20" s="606" t="s">
        <v>17</v>
      </c>
      <c r="E20" s="606" t="s">
        <v>18</v>
      </c>
      <c r="F20" s="573" t="s">
        <v>19</v>
      </c>
      <c r="G20" s="606" t="s">
        <v>20</v>
      </c>
      <c r="H20" s="231"/>
      <c r="I20" s="599" t="s">
        <v>21</v>
      </c>
      <c r="J20" s="600"/>
      <c r="K20" s="600"/>
      <c r="L20" s="600"/>
      <c r="M20" s="600"/>
      <c r="N20" s="600"/>
      <c r="O20" s="600"/>
      <c r="P20" s="600"/>
      <c r="Q20" s="600"/>
      <c r="R20" s="600"/>
      <c r="S20" s="600"/>
      <c r="T20" s="601"/>
    </row>
    <row r="21" spans="1:20" s="8" customFormat="1" ht="12.75">
      <c r="A21" s="663"/>
      <c r="B21" s="573"/>
      <c r="C21" s="573"/>
      <c r="D21" s="606"/>
      <c r="E21" s="606"/>
      <c r="F21" s="573"/>
      <c r="G21" s="606"/>
      <c r="H21" s="212"/>
      <c r="I21" s="51" t="s">
        <v>22</v>
      </c>
      <c r="J21" s="51" t="s">
        <v>58</v>
      </c>
      <c r="K21" s="51" t="s">
        <v>23</v>
      </c>
      <c r="L21" s="51" t="s">
        <v>24</v>
      </c>
      <c r="M21" s="51" t="s">
        <v>25</v>
      </c>
      <c r="N21" s="51" t="s">
        <v>26</v>
      </c>
      <c r="O21" s="51" t="s">
        <v>27</v>
      </c>
      <c r="P21" s="51" t="s">
        <v>28</v>
      </c>
      <c r="Q21" s="51" t="s">
        <v>54</v>
      </c>
      <c r="R21" s="51" t="s">
        <v>55</v>
      </c>
      <c r="S21" s="51" t="s">
        <v>56</v>
      </c>
      <c r="T21" s="52" t="s">
        <v>57</v>
      </c>
    </row>
    <row r="22" spans="1:20" s="8" customFormat="1" ht="165.75">
      <c r="A22" s="222" t="s">
        <v>281</v>
      </c>
      <c r="B22" s="223" t="s">
        <v>265</v>
      </c>
      <c r="C22" s="194" t="s">
        <v>266</v>
      </c>
      <c r="D22" s="241">
        <v>1</v>
      </c>
      <c r="E22" s="166">
        <f>2178750*$E$17</f>
        <v>2287687.5</v>
      </c>
      <c r="F22" s="194">
        <v>11</v>
      </c>
      <c r="G22" s="166">
        <f>E22*F22</f>
        <v>25164562.5</v>
      </c>
      <c r="H22" s="166" t="s">
        <v>285</v>
      </c>
      <c r="I22" s="51"/>
      <c r="J22" s="51"/>
      <c r="K22" s="51"/>
      <c r="L22" s="51"/>
      <c r="M22" s="51"/>
      <c r="N22" s="51"/>
      <c r="O22" s="51"/>
      <c r="P22" s="51"/>
      <c r="Q22" s="51"/>
      <c r="R22" s="217"/>
      <c r="S22" s="217"/>
      <c r="T22" s="218"/>
    </row>
    <row r="23" spans="1:20" s="8" customFormat="1" ht="153">
      <c r="A23" s="222" t="s">
        <v>281</v>
      </c>
      <c r="B23" s="223" t="s">
        <v>267</v>
      </c>
      <c r="C23" s="194" t="s">
        <v>268</v>
      </c>
      <c r="D23" s="241">
        <v>1</v>
      </c>
      <c r="E23" s="166">
        <f>2646000*E17</f>
        <v>2778300</v>
      </c>
      <c r="F23" s="194">
        <v>11</v>
      </c>
      <c r="G23" s="166">
        <f aca="true" t="shared" si="0" ref="G23:G37">E23*F23</f>
        <v>30561300</v>
      </c>
      <c r="H23" s="166" t="s">
        <v>286</v>
      </c>
      <c r="I23" s="51"/>
      <c r="J23" s="51"/>
      <c r="K23" s="51"/>
      <c r="L23" s="51"/>
      <c r="M23" s="51"/>
      <c r="N23" s="51"/>
      <c r="O23" s="51"/>
      <c r="P23" s="51"/>
      <c r="Q23" s="51"/>
      <c r="R23" s="217"/>
      <c r="S23" s="217"/>
      <c r="T23" s="218"/>
    </row>
    <row r="24" spans="1:20" s="8" customFormat="1" ht="153">
      <c r="A24" s="222" t="s">
        <v>281</v>
      </c>
      <c r="B24" s="223" t="s">
        <v>269</v>
      </c>
      <c r="C24" s="194" t="s">
        <v>270</v>
      </c>
      <c r="D24" s="241">
        <v>1</v>
      </c>
      <c r="E24" s="166">
        <v>2778300</v>
      </c>
      <c r="F24" s="194">
        <v>11</v>
      </c>
      <c r="G24" s="166">
        <f t="shared" si="0"/>
        <v>30561300</v>
      </c>
      <c r="H24" s="166" t="s">
        <v>287</v>
      </c>
      <c r="I24" s="51"/>
      <c r="J24" s="51"/>
      <c r="K24" s="51"/>
      <c r="L24" s="51"/>
      <c r="M24" s="51"/>
      <c r="N24" s="51"/>
      <c r="O24" s="51"/>
      <c r="P24" s="51"/>
      <c r="Q24" s="51"/>
      <c r="R24" s="217"/>
      <c r="S24" s="217"/>
      <c r="T24" s="218"/>
    </row>
    <row r="25" spans="1:20" s="8" customFormat="1" ht="140.25">
      <c r="A25" s="224" t="s">
        <v>282</v>
      </c>
      <c r="B25" s="223" t="s">
        <v>271</v>
      </c>
      <c r="C25" s="194" t="s">
        <v>272</v>
      </c>
      <c r="D25" s="241">
        <v>1</v>
      </c>
      <c r="E25" s="166">
        <f>4317600*E17</f>
        <v>4533480</v>
      </c>
      <c r="F25" s="194">
        <v>11</v>
      </c>
      <c r="G25" s="166">
        <f t="shared" si="0"/>
        <v>49868280</v>
      </c>
      <c r="H25" s="166" t="s">
        <v>288</v>
      </c>
      <c r="I25" s="51"/>
      <c r="J25" s="51"/>
      <c r="K25" s="51"/>
      <c r="L25" s="51"/>
      <c r="M25" s="51"/>
      <c r="N25" s="51"/>
      <c r="O25" s="51"/>
      <c r="P25" s="51"/>
      <c r="Q25" s="51"/>
      <c r="R25" s="217"/>
      <c r="S25" s="217"/>
      <c r="T25" s="218"/>
    </row>
    <row r="26" spans="1:20" s="8" customFormat="1" ht="140.25">
      <c r="A26" s="224" t="s">
        <v>282</v>
      </c>
      <c r="B26" s="223" t="s">
        <v>273</v>
      </c>
      <c r="C26" s="194" t="s">
        <v>274</v>
      </c>
      <c r="D26" s="241">
        <v>1</v>
      </c>
      <c r="E26" s="166">
        <f>4317600*E17</f>
        <v>4533480</v>
      </c>
      <c r="F26" s="194">
        <v>11</v>
      </c>
      <c r="G26" s="166">
        <f t="shared" si="0"/>
        <v>49868280</v>
      </c>
      <c r="H26" s="166" t="s">
        <v>289</v>
      </c>
      <c r="I26" s="51"/>
      <c r="J26" s="51"/>
      <c r="K26" s="51"/>
      <c r="L26" s="51"/>
      <c r="M26" s="51"/>
      <c r="N26" s="51"/>
      <c r="O26" s="51"/>
      <c r="P26" s="51"/>
      <c r="Q26" s="51"/>
      <c r="R26" s="217"/>
      <c r="S26" s="217"/>
      <c r="T26" s="218"/>
    </row>
    <row r="27" spans="1:20" s="8" customFormat="1" ht="140.25">
      <c r="A27" s="224" t="s">
        <v>282</v>
      </c>
      <c r="B27" s="223" t="s">
        <v>275</v>
      </c>
      <c r="C27" s="194" t="s">
        <v>276</v>
      </c>
      <c r="D27" s="241">
        <v>1</v>
      </c>
      <c r="E27" s="166">
        <f>3342150*E17</f>
        <v>3509257.5</v>
      </c>
      <c r="F27" s="194">
        <v>11</v>
      </c>
      <c r="G27" s="166">
        <f t="shared" si="0"/>
        <v>38601832.5</v>
      </c>
      <c r="H27" s="166" t="s">
        <v>290</v>
      </c>
      <c r="I27" s="51"/>
      <c r="J27" s="51"/>
      <c r="K27" s="51"/>
      <c r="L27" s="51"/>
      <c r="M27" s="51"/>
      <c r="N27" s="51"/>
      <c r="O27" s="51"/>
      <c r="P27" s="51"/>
      <c r="Q27" s="51"/>
      <c r="R27" s="217"/>
      <c r="S27" s="217"/>
      <c r="T27" s="218"/>
    </row>
    <row r="28" spans="1:20" s="8" customFormat="1" ht="140.25">
      <c r="A28" s="224" t="s">
        <v>282</v>
      </c>
      <c r="B28" s="223" t="s">
        <v>277</v>
      </c>
      <c r="C28" s="194" t="s">
        <v>278</v>
      </c>
      <c r="D28" s="241">
        <v>1</v>
      </c>
      <c r="E28" s="166">
        <f>4038300*E17</f>
        <v>4240215</v>
      </c>
      <c r="F28" s="194">
        <v>11</v>
      </c>
      <c r="G28" s="166">
        <f t="shared" si="0"/>
        <v>46642365</v>
      </c>
      <c r="H28" s="166" t="s">
        <v>291</v>
      </c>
      <c r="I28" s="51"/>
      <c r="J28" s="51"/>
      <c r="K28" s="51"/>
      <c r="L28" s="51"/>
      <c r="M28" s="51"/>
      <c r="N28" s="51"/>
      <c r="O28" s="51"/>
      <c r="P28" s="51"/>
      <c r="Q28" s="51"/>
      <c r="R28" s="217"/>
      <c r="S28" s="217"/>
      <c r="T28" s="218"/>
    </row>
    <row r="29" spans="1:20" s="8" customFormat="1" ht="153">
      <c r="A29" s="222" t="s">
        <v>281</v>
      </c>
      <c r="B29" s="223" t="s">
        <v>265</v>
      </c>
      <c r="C29" s="194" t="s">
        <v>266</v>
      </c>
      <c r="D29" s="241">
        <v>1</v>
      </c>
      <c r="E29" s="166">
        <f>2178750*E17</f>
        <v>2287687.5</v>
      </c>
      <c r="F29" s="194">
        <v>11</v>
      </c>
      <c r="G29" s="166">
        <f t="shared" si="0"/>
        <v>25164562.5</v>
      </c>
      <c r="H29" s="166" t="s">
        <v>292</v>
      </c>
      <c r="I29" s="51"/>
      <c r="J29" s="51"/>
      <c r="K29" s="51"/>
      <c r="L29" s="51"/>
      <c r="M29" s="51"/>
      <c r="N29" s="51"/>
      <c r="O29" s="51"/>
      <c r="P29" s="51"/>
      <c r="Q29" s="51"/>
      <c r="R29" s="217"/>
      <c r="S29" s="217"/>
      <c r="T29" s="218"/>
    </row>
    <row r="30" spans="1:20" s="8" customFormat="1" ht="140.25">
      <c r="A30" s="224" t="s">
        <v>282</v>
      </c>
      <c r="B30" s="223" t="s">
        <v>279</v>
      </c>
      <c r="C30" s="194" t="s">
        <v>280</v>
      </c>
      <c r="D30" s="241">
        <v>1</v>
      </c>
      <c r="E30" s="166">
        <f>2646000*E17</f>
        <v>2778300</v>
      </c>
      <c r="F30" s="194">
        <v>11</v>
      </c>
      <c r="G30" s="166">
        <f t="shared" si="0"/>
        <v>30561300</v>
      </c>
      <c r="H30" s="166" t="s">
        <v>293</v>
      </c>
      <c r="I30" s="51"/>
      <c r="J30" s="51"/>
      <c r="K30" s="51"/>
      <c r="L30" s="51"/>
      <c r="M30" s="51"/>
      <c r="N30" s="51"/>
      <c r="O30" s="51"/>
      <c r="P30" s="51"/>
      <c r="Q30" s="51"/>
      <c r="R30" s="217"/>
      <c r="S30" s="217"/>
      <c r="T30" s="218"/>
    </row>
    <row r="31" spans="1:20" s="8" customFormat="1" ht="140.25">
      <c r="A31" s="224" t="s">
        <v>282</v>
      </c>
      <c r="B31" s="223" t="s">
        <v>283</v>
      </c>
      <c r="C31" s="194" t="s">
        <v>284</v>
      </c>
      <c r="D31" s="241">
        <v>1</v>
      </c>
      <c r="E31" s="166">
        <f>4038300*E17</f>
        <v>4240215</v>
      </c>
      <c r="F31" s="194">
        <v>11</v>
      </c>
      <c r="G31" s="166">
        <f t="shared" si="0"/>
        <v>46642365</v>
      </c>
      <c r="H31" s="166" t="s">
        <v>294</v>
      </c>
      <c r="I31" s="51"/>
      <c r="J31" s="51"/>
      <c r="K31" s="51"/>
      <c r="L31" s="51"/>
      <c r="M31" s="51"/>
      <c r="N31" s="51"/>
      <c r="O31" s="51"/>
      <c r="P31" s="51"/>
      <c r="Q31" s="51"/>
      <c r="R31" s="217"/>
      <c r="S31" s="217"/>
      <c r="T31" s="218"/>
    </row>
    <row r="32" spans="1:20" s="8" customFormat="1" ht="140.25">
      <c r="A32" s="224" t="s">
        <v>282</v>
      </c>
      <c r="B32" s="223" t="s">
        <v>295</v>
      </c>
      <c r="C32" s="194" t="s">
        <v>296</v>
      </c>
      <c r="D32" s="241">
        <v>1</v>
      </c>
      <c r="E32" s="166">
        <f>3301200*E17</f>
        <v>3466260</v>
      </c>
      <c r="F32" s="194">
        <v>11</v>
      </c>
      <c r="G32" s="166">
        <f t="shared" si="0"/>
        <v>38128860</v>
      </c>
      <c r="H32" s="166" t="s">
        <v>299</v>
      </c>
      <c r="I32" s="51"/>
      <c r="J32" s="51"/>
      <c r="K32" s="51"/>
      <c r="L32" s="51"/>
      <c r="M32" s="51"/>
      <c r="N32" s="51"/>
      <c r="O32" s="51"/>
      <c r="P32" s="51"/>
      <c r="Q32" s="51"/>
      <c r="R32" s="217"/>
      <c r="S32" s="217"/>
      <c r="T32" s="218"/>
    </row>
    <row r="33" spans="1:20" s="8" customFormat="1" ht="140.25">
      <c r="A33" s="224" t="s">
        <v>282</v>
      </c>
      <c r="B33" s="223" t="s">
        <v>297</v>
      </c>
      <c r="C33" s="194" t="s">
        <v>298</v>
      </c>
      <c r="D33" s="241">
        <v>1</v>
      </c>
      <c r="E33" s="166">
        <f>3342150*E17</f>
        <v>3509257.5</v>
      </c>
      <c r="F33" s="194">
        <v>11</v>
      </c>
      <c r="G33" s="166">
        <f t="shared" si="0"/>
        <v>38601832.5</v>
      </c>
      <c r="H33" s="166" t="s">
        <v>300</v>
      </c>
      <c r="I33" s="51"/>
      <c r="J33" s="51"/>
      <c r="K33" s="51"/>
      <c r="L33" s="51"/>
      <c r="M33" s="51"/>
      <c r="N33" s="51"/>
      <c r="O33" s="51"/>
      <c r="P33" s="51"/>
      <c r="Q33" s="51"/>
      <c r="R33" s="217"/>
      <c r="S33" s="217"/>
      <c r="T33" s="218"/>
    </row>
    <row r="34" spans="1:20" s="8" customFormat="1" ht="140.25">
      <c r="A34" s="224" t="s">
        <v>282</v>
      </c>
      <c r="B34" s="209" t="s">
        <v>301</v>
      </c>
      <c r="C34" s="194" t="s">
        <v>305</v>
      </c>
      <c r="D34" s="241">
        <v>1</v>
      </c>
      <c r="E34" s="206">
        <v>2778300</v>
      </c>
      <c r="F34" s="194">
        <v>9</v>
      </c>
      <c r="G34" s="166">
        <f t="shared" si="0"/>
        <v>25004700</v>
      </c>
      <c r="H34" s="166" t="s">
        <v>306</v>
      </c>
      <c r="I34" s="51"/>
      <c r="J34" s="51"/>
      <c r="K34" s="51"/>
      <c r="L34" s="51"/>
      <c r="M34" s="51"/>
      <c r="N34" s="51"/>
      <c r="O34" s="51"/>
      <c r="P34" s="51"/>
      <c r="Q34" s="51"/>
      <c r="R34" s="217"/>
      <c r="S34" s="217"/>
      <c r="T34" s="218"/>
    </row>
    <row r="35" spans="1:20" s="8" customFormat="1" ht="76.5">
      <c r="A35" s="224" t="s">
        <v>302</v>
      </c>
      <c r="B35" s="209" t="s">
        <v>303</v>
      </c>
      <c r="C35" s="194" t="s">
        <v>304</v>
      </c>
      <c r="D35" s="241">
        <v>1</v>
      </c>
      <c r="E35" s="206">
        <f>4038300*E17</f>
        <v>4240215</v>
      </c>
      <c r="F35" s="194">
        <v>11</v>
      </c>
      <c r="G35" s="166">
        <f t="shared" si="0"/>
        <v>46642365</v>
      </c>
      <c r="H35" s="166" t="s">
        <v>307</v>
      </c>
      <c r="I35" s="51"/>
      <c r="J35" s="51"/>
      <c r="K35" s="51"/>
      <c r="L35" s="51"/>
      <c r="M35" s="51"/>
      <c r="N35" s="51"/>
      <c r="O35" s="51"/>
      <c r="P35" s="51"/>
      <c r="Q35" s="51"/>
      <c r="R35" s="217"/>
      <c r="S35" s="217"/>
      <c r="T35" s="218"/>
    </row>
    <row r="36" spans="1:20" s="8" customFormat="1" ht="76.5">
      <c r="A36" s="224" t="s">
        <v>302</v>
      </c>
      <c r="B36" s="209" t="s">
        <v>303</v>
      </c>
      <c r="C36" s="194" t="s">
        <v>304</v>
      </c>
      <c r="D36" s="241">
        <v>1</v>
      </c>
      <c r="E36" s="206">
        <f>2646000*E17</f>
        <v>2778300</v>
      </c>
      <c r="F36" s="194">
        <v>11</v>
      </c>
      <c r="G36" s="166">
        <f t="shared" si="0"/>
        <v>30561300</v>
      </c>
      <c r="H36" s="166" t="s">
        <v>308</v>
      </c>
      <c r="I36" s="51"/>
      <c r="J36" s="51"/>
      <c r="K36" s="51"/>
      <c r="L36" s="51"/>
      <c r="M36" s="51"/>
      <c r="N36" s="51"/>
      <c r="O36" s="51"/>
      <c r="P36" s="51"/>
      <c r="Q36" s="51"/>
      <c r="R36" s="217"/>
      <c r="S36" s="217"/>
      <c r="T36" s="218"/>
    </row>
    <row r="37" spans="1:20" s="8" customFormat="1" ht="168.75" customHeight="1">
      <c r="A37" s="224" t="s">
        <v>309</v>
      </c>
      <c r="B37" s="209" t="s">
        <v>310</v>
      </c>
      <c r="C37" s="194" t="s">
        <v>311</v>
      </c>
      <c r="D37" s="241">
        <v>1</v>
      </c>
      <c r="E37" s="206">
        <f>1810200*E17</f>
        <v>1900710</v>
      </c>
      <c r="F37" s="209">
        <v>9</v>
      </c>
      <c r="G37" s="166">
        <f t="shared" si="0"/>
        <v>17106390</v>
      </c>
      <c r="H37" s="166" t="s">
        <v>312</v>
      </c>
      <c r="I37" s="51"/>
      <c r="J37" s="51"/>
      <c r="K37" s="51"/>
      <c r="L37" s="51"/>
      <c r="M37" s="51"/>
      <c r="N37" s="51"/>
      <c r="O37" s="51"/>
      <c r="P37" s="51"/>
      <c r="Q37" s="51"/>
      <c r="R37" s="217"/>
      <c r="S37" s="217"/>
      <c r="T37" s="218"/>
    </row>
    <row r="38" spans="1:31" ht="13.5" thickBot="1">
      <c r="A38" s="556" t="s">
        <v>29</v>
      </c>
      <c r="B38" s="557"/>
      <c r="C38" s="557"/>
      <c r="D38" s="557"/>
      <c r="E38" s="557"/>
      <c r="F38" s="558"/>
      <c r="G38" s="56">
        <f>SUM(G22:G37)</f>
        <v>569681595</v>
      </c>
      <c r="H38" s="232"/>
      <c r="I38" s="593"/>
      <c r="J38" s="594"/>
      <c r="K38" s="594"/>
      <c r="L38" s="594"/>
      <c r="M38" s="594"/>
      <c r="N38" s="594"/>
      <c r="O38" s="594"/>
      <c r="P38" s="594"/>
      <c r="Q38" s="594"/>
      <c r="R38" s="594"/>
      <c r="S38" s="594"/>
      <c r="T38" s="595"/>
      <c r="AE38" s="169"/>
    </row>
    <row r="39" spans="1:31" s="4" customFormat="1" ht="18" customHeight="1" thickBot="1">
      <c r="A39" s="609" t="s">
        <v>30</v>
      </c>
      <c r="B39" s="610"/>
      <c r="C39" s="610"/>
      <c r="D39" s="610"/>
      <c r="E39" s="610"/>
      <c r="F39" s="610"/>
      <c r="G39" s="610"/>
      <c r="H39" s="230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8"/>
      <c r="AE39" s="170"/>
    </row>
    <row r="40" spans="1:31" s="9" customFormat="1" ht="16.5" customHeight="1">
      <c r="A40" s="647" t="s">
        <v>31</v>
      </c>
      <c r="B40" s="648"/>
      <c r="C40" s="649"/>
      <c r="D40" s="559" t="s">
        <v>32</v>
      </c>
      <c r="E40" s="607" t="s">
        <v>17</v>
      </c>
      <c r="F40" s="561" t="s">
        <v>33</v>
      </c>
      <c r="G40" s="559" t="s">
        <v>20</v>
      </c>
      <c r="H40" s="233"/>
      <c r="I40" s="599" t="s">
        <v>21</v>
      </c>
      <c r="J40" s="600"/>
      <c r="K40" s="600"/>
      <c r="L40" s="600"/>
      <c r="M40" s="600"/>
      <c r="N40" s="600"/>
      <c r="O40" s="600"/>
      <c r="P40" s="600"/>
      <c r="Q40" s="600"/>
      <c r="R40" s="600"/>
      <c r="S40" s="600"/>
      <c r="T40" s="601"/>
      <c r="AE40" s="171"/>
    </row>
    <row r="41" spans="1:20" s="7" customFormat="1" ht="14.25" customHeight="1">
      <c r="A41" s="650"/>
      <c r="B41" s="651"/>
      <c r="C41" s="652"/>
      <c r="D41" s="560"/>
      <c r="E41" s="608"/>
      <c r="F41" s="562"/>
      <c r="G41" s="560"/>
      <c r="H41" s="210"/>
      <c r="I41" s="51" t="s">
        <v>22</v>
      </c>
      <c r="J41" s="51" t="s">
        <v>58</v>
      </c>
      <c r="K41" s="51" t="s">
        <v>23</v>
      </c>
      <c r="L41" s="51" t="s">
        <v>24</v>
      </c>
      <c r="M41" s="51" t="s">
        <v>25</v>
      </c>
      <c r="N41" s="51" t="s">
        <v>26</v>
      </c>
      <c r="O41" s="51" t="s">
        <v>27</v>
      </c>
      <c r="P41" s="51" t="s">
        <v>28</v>
      </c>
      <c r="Q41" s="51" t="s">
        <v>54</v>
      </c>
      <c r="R41" s="51" t="s">
        <v>55</v>
      </c>
      <c r="S41" s="51" t="s">
        <v>56</v>
      </c>
      <c r="T41" s="52" t="s">
        <v>57</v>
      </c>
    </row>
    <row r="42" spans="1:20" s="8" customFormat="1" ht="12.75" customHeight="1">
      <c r="A42" s="624" t="s">
        <v>314</v>
      </c>
      <c r="B42" s="625"/>
      <c r="C42" s="626"/>
      <c r="D42" s="166"/>
      <c r="E42" s="190">
        <v>1</v>
      </c>
      <c r="F42" s="191">
        <v>15000000</v>
      </c>
      <c r="G42" s="192">
        <f>F42*1.004</f>
        <v>15060000</v>
      </c>
      <c r="H42" s="192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2"/>
    </row>
    <row r="43" spans="1:20" s="8" customFormat="1" ht="12.75" customHeight="1">
      <c r="A43" s="653" t="s">
        <v>317</v>
      </c>
      <c r="B43" s="654"/>
      <c r="C43" s="655"/>
      <c r="D43" s="220"/>
      <c r="E43" s="255">
        <v>1</v>
      </c>
      <c r="F43" s="256">
        <f>30000000+254317499</f>
        <v>284317499</v>
      </c>
      <c r="G43" s="257">
        <f>F43*1.004</f>
        <v>285454768.996</v>
      </c>
      <c r="H43" s="250">
        <f>254317499</f>
        <v>254317499</v>
      </c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2"/>
    </row>
    <row r="44" spans="1:20" s="8" customFormat="1" ht="12.75" customHeight="1">
      <c r="A44" s="624" t="s">
        <v>315</v>
      </c>
      <c r="B44" s="625"/>
      <c r="C44" s="626"/>
      <c r="D44" s="166"/>
      <c r="E44" s="190">
        <v>1</v>
      </c>
      <c r="F44" s="191">
        <v>80000000</v>
      </c>
      <c r="G44" s="192">
        <f>F44*1.004</f>
        <v>80320000</v>
      </c>
      <c r="H44" s="192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2"/>
    </row>
    <row r="45" spans="1:20" s="8" customFormat="1" ht="12.75" customHeight="1">
      <c r="A45" s="624" t="s">
        <v>316</v>
      </c>
      <c r="B45" s="625"/>
      <c r="C45" s="626"/>
      <c r="D45" s="166"/>
      <c r="E45" s="190">
        <v>1</v>
      </c>
      <c r="F45" s="191">
        <v>144538741</v>
      </c>
      <c r="G45" s="192">
        <f>F45*1.004</f>
        <v>145116895.964</v>
      </c>
      <c r="H45" s="242"/>
      <c r="I45" s="243"/>
      <c r="J45" s="244"/>
      <c r="K45" s="244"/>
      <c r="L45" s="244"/>
      <c r="M45" s="244"/>
      <c r="N45" s="244"/>
      <c r="O45" s="245"/>
      <c r="P45" s="246"/>
      <c r="Q45" s="246"/>
      <c r="R45" s="246"/>
      <c r="S45" s="246"/>
      <c r="T45" s="247"/>
    </row>
    <row r="46" spans="1:31" ht="12.75" customHeight="1" thickBot="1">
      <c r="A46" s="556" t="s">
        <v>29</v>
      </c>
      <c r="B46" s="557"/>
      <c r="C46" s="557"/>
      <c r="D46" s="557"/>
      <c r="E46" s="557"/>
      <c r="F46" s="558"/>
      <c r="G46" s="56">
        <f>SUM(G42:G44)</f>
        <v>380834768.996</v>
      </c>
      <c r="H46" s="232"/>
      <c r="I46" s="59"/>
      <c r="J46" s="60"/>
      <c r="K46" s="60"/>
      <c r="L46" s="60"/>
      <c r="M46" s="60"/>
      <c r="N46" s="60"/>
      <c r="O46" s="61"/>
      <c r="P46" s="62"/>
      <c r="Q46" s="62"/>
      <c r="R46" s="62"/>
      <c r="S46" s="62"/>
      <c r="T46" s="63"/>
      <c r="AE46" s="169"/>
    </row>
    <row r="47" spans="1:31" s="4" customFormat="1" ht="18.75" customHeight="1" thickBot="1">
      <c r="A47" s="668" t="s">
        <v>34</v>
      </c>
      <c r="B47" s="669"/>
      <c r="C47" s="669"/>
      <c r="D47" s="669"/>
      <c r="E47" s="669"/>
      <c r="F47" s="669"/>
      <c r="G47" s="669"/>
      <c r="H47" s="234"/>
      <c r="I47" s="593"/>
      <c r="J47" s="594"/>
      <c r="K47" s="594"/>
      <c r="L47" s="594"/>
      <c r="M47" s="594"/>
      <c r="N47" s="594"/>
      <c r="O47" s="594"/>
      <c r="P47" s="57"/>
      <c r="Q47" s="57"/>
      <c r="R47" s="57"/>
      <c r="S47" s="57"/>
      <c r="T47" s="58"/>
      <c r="AE47" s="170"/>
    </row>
    <row r="48" spans="1:31" s="4" customFormat="1" ht="12.75">
      <c r="A48" s="64"/>
      <c r="B48" s="139"/>
      <c r="C48" s="65"/>
      <c r="D48" s="66"/>
      <c r="E48" s="67"/>
      <c r="F48" s="68"/>
      <c r="G48" s="67"/>
      <c r="H48" s="67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70"/>
      <c r="AE48" s="170"/>
    </row>
    <row r="49" spans="1:20" s="7" customFormat="1" ht="15.75" customHeight="1">
      <c r="A49" s="647" t="s">
        <v>31</v>
      </c>
      <c r="B49" s="648"/>
      <c r="C49" s="649"/>
      <c r="D49" s="559" t="s">
        <v>32</v>
      </c>
      <c r="E49" s="607" t="s">
        <v>17</v>
      </c>
      <c r="F49" s="561" t="s">
        <v>33</v>
      </c>
      <c r="G49" s="559" t="s">
        <v>20</v>
      </c>
      <c r="H49" s="233"/>
      <c r="I49" s="599" t="s">
        <v>21</v>
      </c>
      <c r="J49" s="600"/>
      <c r="K49" s="600"/>
      <c r="L49" s="600"/>
      <c r="M49" s="600"/>
      <c r="N49" s="600"/>
      <c r="O49" s="600"/>
      <c r="P49" s="600"/>
      <c r="Q49" s="600"/>
      <c r="R49" s="600"/>
      <c r="S49" s="600"/>
      <c r="T49" s="601"/>
    </row>
    <row r="50" spans="1:20" s="8" customFormat="1" ht="13.5" customHeight="1">
      <c r="A50" s="650"/>
      <c r="B50" s="651"/>
      <c r="C50" s="652"/>
      <c r="D50" s="560"/>
      <c r="E50" s="608"/>
      <c r="F50" s="562"/>
      <c r="G50" s="560"/>
      <c r="H50" s="210"/>
      <c r="I50" s="51" t="s">
        <v>22</v>
      </c>
      <c r="J50" s="51" t="s">
        <v>58</v>
      </c>
      <c r="K50" s="51" t="s">
        <v>23</v>
      </c>
      <c r="L50" s="51" t="s">
        <v>24</v>
      </c>
      <c r="M50" s="51" t="s">
        <v>25</v>
      </c>
      <c r="N50" s="51" t="s">
        <v>26</v>
      </c>
      <c r="O50" s="51" t="s">
        <v>27</v>
      </c>
      <c r="P50" s="51" t="s">
        <v>28</v>
      </c>
      <c r="Q50" s="51" t="s">
        <v>54</v>
      </c>
      <c r="R50" s="51" t="s">
        <v>55</v>
      </c>
      <c r="S50" s="51" t="s">
        <v>56</v>
      </c>
      <c r="T50" s="52" t="s">
        <v>57</v>
      </c>
    </row>
    <row r="51" spans="1:20" ht="12.75">
      <c r="A51" s="548"/>
      <c r="B51" s="548"/>
      <c r="C51" s="549"/>
      <c r="D51" s="53"/>
      <c r="E51" s="47"/>
      <c r="F51" s="46"/>
      <c r="G51" s="47"/>
      <c r="H51" s="47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5"/>
    </row>
    <row r="52" spans="1:20" ht="12.75">
      <c r="A52" s="548"/>
      <c r="B52" s="548"/>
      <c r="C52" s="549"/>
      <c r="D52" s="53"/>
      <c r="E52" s="47"/>
      <c r="F52" s="46"/>
      <c r="G52" s="47"/>
      <c r="H52" s="47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5"/>
    </row>
    <row r="53" spans="1:20" ht="12.75">
      <c r="A53" s="548"/>
      <c r="B53" s="548"/>
      <c r="C53" s="549"/>
      <c r="D53" s="53"/>
      <c r="E53" s="47"/>
      <c r="F53" s="46"/>
      <c r="G53" s="47"/>
      <c r="H53" s="47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5"/>
    </row>
    <row r="54" spans="1:20" ht="12.75">
      <c r="A54" s="548"/>
      <c r="B54" s="548"/>
      <c r="C54" s="549"/>
      <c r="D54" s="53"/>
      <c r="E54" s="47"/>
      <c r="F54" s="46"/>
      <c r="G54" s="47"/>
      <c r="H54" s="47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5"/>
    </row>
    <row r="55" spans="1:20" ht="13.5" thickBot="1">
      <c r="A55" s="556" t="s">
        <v>29</v>
      </c>
      <c r="B55" s="557"/>
      <c r="C55" s="557"/>
      <c r="D55" s="557"/>
      <c r="E55" s="557"/>
      <c r="F55" s="558"/>
      <c r="G55" s="71">
        <f>SUM(G51:G54)</f>
        <v>0</v>
      </c>
      <c r="H55" s="235"/>
      <c r="I55" s="582"/>
      <c r="J55" s="583"/>
      <c r="K55" s="583"/>
      <c r="L55" s="583"/>
      <c r="M55" s="583"/>
      <c r="N55" s="583"/>
      <c r="O55" s="583"/>
      <c r="P55" s="583"/>
      <c r="Q55" s="583"/>
      <c r="R55" s="583"/>
      <c r="S55" s="583"/>
      <c r="T55" s="664"/>
    </row>
    <row r="56" spans="1:20" ht="21" customHeight="1" thickBot="1">
      <c r="A56" s="72" t="s">
        <v>37</v>
      </c>
      <c r="B56" s="140"/>
      <c r="C56" s="73"/>
      <c r="D56" s="74"/>
      <c r="E56" s="75"/>
      <c r="F56" s="76"/>
      <c r="G56" s="75"/>
      <c r="H56" s="75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8"/>
    </row>
    <row r="57" spans="1:20" s="7" customFormat="1" ht="16.5" customHeight="1">
      <c r="A57" s="550" t="s">
        <v>15</v>
      </c>
      <c r="B57" s="551"/>
      <c r="C57" s="552"/>
      <c r="D57" s="573" t="s">
        <v>35</v>
      </c>
      <c r="E57" s="574" t="s">
        <v>17</v>
      </c>
      <c r="F57" s="561" t="s">
        <v>33</v>
      </c>
      <c r="G57" s="559" t="s">
        <v>20</v>
      </c>
      <c r="H57" s="236"/>
      <c r="I57" s="578" t="s">
        <v>21</v>
      </c>
      <c r="J57" s="579"/>
      <c r="K57" s="579"/>
      <c r="L57" s="579"/>
      <c r="M57" s="579"/>
      <c r="N57" s="579"/>
      <c r="O57" s="579"/>
      <c r="P57" s="579"/>
      <c r="Q57" s="579"/>
      <c r="R57" s="579"/>
      <c r="S57" s="579"/>
      <c r="T57" s="580"/>
    </row>
    <row r="58" spans="1:20" s="8" customFormat="1" ht="13.5" customHeight="1">
      <c r="A58" s="553"/>
      <c r="B58" s="554"/>
      <c r="C58" s="555"/>
      <c r="D58" s="573"/>
      <c r="E58" s="562"/>
      <c r="F58" s="562"/>
      <c r="G58" s="560"/>
      <c r="H58" s="210"/>
      <c r="I58" s="51" t="s">
        <v>22</v>
      </c>
      <c r="J58" s="51" t="s">
        <v>58</v>
      </c>
      <c r="K58" s="51" t="s">
        <v>23</v>
      </c>
      <c r="L58" s="51" t="s">
        <v>24</v>
      </c>
      <c r="M58" s="51" t="s">
        <v>25</v>
      </c>
      <c r="N58" s="51" t="s">
        <v>26</v>
      </c>
      <c r="O58" s="51" t="s">
        <v>27</v>
      </c>
      <c r="P58" s="51" t="s">
        <v>28</v>
      </c>
      <c r="Q58" s="51" t="s">
        <v>54</v>
      </c>
      <c r="R58" s="51" t="s">
        <v>55</v>
      </c>
      <c r="S58" s="51" t="s">
        <v>56</v>
      </c>
      <c r="T58" s="52" t="s">
        <v>57</v>
      </c>
    </row>
    <row r="59" spans="1:20" ht="12.75">
      <c r="A59" s="553"/>
      <c r="B59" s="554"/>
      <c r="C59" s="555"/>
      <c r="D59" s="53"/>
      <c r="E59" s="47"/>
      <c r="F59" s="46"/>
      <c r="G59" s="47"/>
      <c r="H59" s="47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5"/>
    </row>
    <row r="60" spans="1:20" ht="12.75">
      <c r="A60" s="611"/>
      <c r="B60" s="612"/>
      <c r="C60" s="613"/>
      <c r="D60" s="53"/>
      <c r="E60" s="47"/>
      <c r="F60" s="46"/>
      <c r="G60" s="47"/>
      <c r="H60" s="47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5"/>
    </row>
    <row r="61" spans="1:20" ht="12.75">
      <c r="A61" s="611"/>
      <c r="B61" s="612"/>
      <c r="C61" s="613"/>
      <c r="D61" s="53"/>
      <c r="E61" s="47"/>
      <c r="F61" s="46"/>
      <c r="G61" s="47"/>
      <c r="H61" s="47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5"/>
    </row>
    <row r="62" spans="1:20" ht="12.75">
      <c r="A62" s="77"/>
      <c r="B62" s="141"/>
      <c r="C62" s="78"/>
      <c r="D62" s="53"/>
      <c r="E62" s="47"/>
      <c r="F62" s="46"/>
      <c r="G62" s="47"/>
      <c r="H62" s="47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5"/>
    </row>
    <row r="63" spans="1:20" ht="13.5" thickBot="1">
      <c r="A63" s="556" t="s">
        <v>29</v>
      </c>
      <c r="B63" s="557"/>
      <c r="C63" s="557"/>
      <c r="D63" s="557"/>
      <c r="E63" s="557"/>
      <c r="F63" s="558"/>
      <c r="G63" s="71">
        <f>SUM(G59:G62)</f>
        <v>0</v>
      </c>
      <c r="H63" s="235"/>
      <c r="I63" s="593"/>
      <c r="J63" s="594"/>
      <c r="K63" s="594"/>
      <c r="L63" s="594"/>
      <c r="M63" s="594"/>
      <c r="N63" s="594"/>
      <c r="O63" s="594"/>
      <c r="P63" s="594"/>
      <c r="Q63" s="594"/>
      <c r="R63" s="594"/>
      <c r="S63" s="594"/>
      <c r="T63" s="595"/>
    </row>
    <row r="64" spans="1:20" ht="21.75" customHeight="1" thickBot="1">
      <c r="A64" s="72" t="s">
        <v>38</v>
      </c>
      <c r="B64" s="140"/>
      <c r="C64" s="73"/>
      <c r="D64" s="74"/>
      <c r="E64" s="75"/>
      <c r="F64" s="76"/>
      <c r="G64" s="75"/>
      <c r="H64" s="75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8"/>
    </row>
    <row r="65" spans="1:20" s="7" customFormat="1" ht="12.75" customHeight="1">
      <c r="A65" s="550" t="s">
        <v>15</v>
      </c>
      <c r="B65" s="552"/>
      <c r="C65" s="573" t="s">
        <v>39</v>
      </c>
      <c r="D65" s="602" t="s">
        <v>40</v>
      </c>
      <c r="E65" s="572" t="s">
        <v>41</v>
      </c>
      <c r="F65" s="573" t="s">
        <v>42</v>
      </c>
      <c r="G65" s="559" t="s">
        <v>20</v>
      </c>
      <c r="H65" s="236"/>
      <c r="I65" s="578" t="s">
        <v>21</v>
      </c>
      <c r="J65" s="579"/>
      <c r="K65" s="579"/>
      <c r="L65" s="579"/>
      <c r="M65" s="579"/>
      <c r="N65" s="579"/>
      <c r="O65" s="579"/>
      <c r="P65" s="579"/>
      <c r="Q65" s="579"/>
      <c r="R65" s="579"/>
      <c r="S65" s="579"/>
      <c r="T65" s="580"/>
    </row>
    <row r="66" spans="1:20" s="8" customFormat="1" ht="13.5" customHeight="1">
      <c r="A66" s="553"/>
      <c r="B66" s="555"/>
      <c r="C66" s="573"/>
      <c r="D66" s="603"/>
      <c r="E66" s="572"/>
      <c r="F66" s="573"/>
      <c r="G66" s="560"/>
      <c r="H66" s="210"/>
      <c r="I66" s="51" t="s">
        <v>22</v>
      </c>
      <c r="J66" s="51" t="s">
        <v>58</v>
      </c>
      <c r="K66" s="51" t="s">
        <v>23</v>
      </c>
      <c r="L66" s="51" t="s">
        <v>24</v>
      </c>
      <c r="M66" s="51" t="s">
        <v>25</v>
      </c>
      <c r="N66" s="51" t="s">
        <v>26</v>
      </c>
      <c r="O66" s="51" t="s">
        <v>27</v>
      </c>
      <c r="P66" s="51" t="s">
        <v>28</v>
      </c>
      <c r="Q66" s="51" t="s">
        <v>54</v>
      </c>
      <c r="R66" s="51" t="s">
        <v>55</v>
      </c>
      <c r="S66" s="51" t="s">
        <v>56</v>
      </c>
      <c r="T66" s="52" t="s">
        <v>57</v>
      </c>
    </row>
    <row r="67" spans="1:20" ht="12.75">
      <c r="A67" s="547"/>
      <c r="B67" s="549"/>
      <c r="C67" s="46"/>
      <c r="D67" s="53"/>
      <c r="E67" s="47"/>
      <c r="F67" s="46"/>
      <c r="G67" s="47"/>
      <c r="H67" s="47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5"/>
    </row>
    <row r="68" spans="1:20" ht="12.75">
      <c r="A68" s="547"/>
      <c r="B68" s="549"/>
      <c r="C68" s="46"/>
      <c r="D68" s="53"/>
      <c r="E68" s="47"/>
      <c r="F68" s="46"/>
      <c r="G68" s="47"/>
      <c r="H68" s="47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5"/>
    </row>
    <row r="69" spans="1:20" ht="12.75">
      <c r="A69" s="547"/>
      <c r="B69" s="549"/>
      <c r="C69" s="46"/>
      <c r="D69" s="53"/>
      <c r="E69" s="47"/>
      <c r="F69" s="46"/>
      <c r="G69" s="47"/>
      <c r="H69" s="47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5"/>
    </row>
    <row r="70" spans="1:20" ht="12.75">
      <c r="A70" s="547"/>
      <c r="B70" s="549"/>
      <c r="C70" s="46"/>
      <c r="D70" s="53"/>
      <c r="E70" s="47"/>
      <c r="F70" s="46"/>
      <c r="G70" s="47"/>
      <c r="H70" s="47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5"/>
    </row>
    <row r="71" spans="1:20" ht="13.5" thickBot="1">
      <c r="A71" s="556" t="s">
        <v>29</v>
      </c>
      <c r="B71" s="557"/>
      <c r="C71" s="557"/>
      <c r="D71" s="557"/>
      <c r="E71" s="557"/>
      <c r="F71" s="558"/>
      <c r="G71" s="79">
        <f>SUM(G67:G70)</f>
        <v>0</v>
      </c>
      <c r="H71" s="237"/>
      <c r="I71" s="593"/>
      <c r="J71" s="594"/>
      <c r="K71" s="594"/>
      <c r="L71" s="594"/>
      <c r="M71" s="594"/>
      <c r="N71" s="594"/>
      <c r="O71" s="594"/>
      <c r="P71" s="594"/>
      <c r="Q71" s="594"/>
      <c r="R71" s="594"/>
      <c r="S71" s="594"/>
      <c r="T71" s="595"/>
    </row>
    <row r="72" spans="1:20" ht="22.5" customHeight="1" thickBot="1">
      <c r="A72" s="72" t="s">
        <v>43</v>
      </c>
      <c r="B72" s="140"/>
      <c r="C72" s="73"/>
      <c r="D72" s="74"/>
      <c r="E72" s="75"/>
      <c r="F72" s="76"/>
      <c r="G72" s="75"/>
      <c r="H72" s="75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8"/>
    </row>
    <row r="73" spans="1:20" s="7" customFormat="1" ht="12.75" customHeight="1">
      <c r="A73" s="550" t="s">
        <v>15</v>
      </c>
      <c r="B73" s="551"/>
      <c r="C73" s="551"/>
      <c r="D73" s="551"/>
      <c r="E73" s="552"/>
      <c r="F73" s="573" t="s">
        <v>39</v>
      </c>
      <c r="G73" s="606" t="s">
        <v>36</v>
      </c>
      <c r="H73" s="238"/>
      <c r="I73" s="578" t="s">
        <v>21</v>
      </c>
      <c r="J73" s="579"/>
      <c r="K73" s="579"/>
      <c r="L73" s="579"/>
      <c r="M73" s="579"/>
      <c r="N73" s="579"/>
      <c r="O73" s="579"/>
      <c r="P73" s="579"/>
      <c r="Q73" s="579"/>
      <c r="R73" s="579"/>
      <c r="S73" s="579"/>
      <c r="T73" s="580"/>
    </row>
    <row r="74" spans="1:20" s="8" customFormat="1" ht="13.5" customHeight="1">
      <c r="A74" s="553"/>
      <c r="B74" s="554"/>
      <c r="C74" s="554"/>
      <c r="D74" s="554"/>
      <c r="E74" s="555"/>
      <c r="F74" s="573"/>
      <c r="G74" s="606"/>
      <c r="H74" s="212"/>
      <c r="I74" s="51" t="s">
        <v>22</v>
      </c>
      <c r="J74" s="51" t="s">
        <v>58</v>
      </c>
      <c r="K74" s="51" t="s">
        <v>23</v>
      </c>
      <c r="L74" s="51" t="s">
        <v>24</v>
      </c>
      <c r="M74" s="51" t="s">
        <v>25</v>
      </c>
      <c r="N74" s="51" t="s">
        <v>26</v>
      </c>
      <c r="O74" s="51" t="s">
        <v>27</v>
      </c>
      <c r="P74" s="51" t="s">
        <v>28</v>
      </c>
      <c r="Q74" s="51" t="s">
        <v>54</v>
      </c>
      <c r="R74" s="51" t="s">
        <v>55</v>
      </c>
      <c r="S74" s="51" t="s">
        <v>56</v>
      </c>
      <c r="T74" s="52" t="s">
        <v>57</v>
      </c>
    </row>
    <row r="75" spans="1:20" ht="12.75">
      <c r="A75" s="569" t="s">
        <v>328</v>
      </c>
      <c r="B75" s="570"/>
      <c r="C75" s="570"/>
      <c r="D75" s="570"/>
      <c r="E75" s="571"/>
      <c r="F75" s="193"/>
      <c r="G75" s="167">
        <f>80000000*1.004</f>
        <v>80320000</v>
      </c>
      <c r="H75" s="167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5"/>
    </row>
    <row r="76" spans="1:20" ht="12.75">
      <c r="A76" s="547"/>
      <c r="B76" s="548"/>
      <c r="C76" s="548"/>
      <c r="D76" s="548"/>
      <c r="E76" s="549"/>
      <c r="F76" s="46"/>
      <c r="G76" s="47"/>
      <c r="H76" s="47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5"/>
    </row>
    <row r="77" spans="1:20" ht="12.75">
      <c r="A77" s="547"/>
      <c r="B77" s="548"/>
      <c r="C77" s="548"/>
      <c r="D77" s="548"/>
      <c r="E77" s="549"/>
      <c r="F77" s="46"/>
      <c r="G77" s="47"/>
      <c r="H77" s="47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5"/>
    </row>
    <row r="78" spans="1:20" ht="12.75">
      <c r="A78" s="547"/>
      <c r="B78" s="548"/>
      <c r="C78" s="548"/>
      <c r="D78" s="548"/>
      <c r="E78" s="549"/>
      <c r="F78" s="46"/>
      <c r="G78" s="47"/>
      <c r="H78" s="47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5"/>
    </row>
    <row r="79" spans="1:20" ht="13.5" thickBot="1">
      <c r="A79" s="556" t="s">
        <v>29</v>
      </c>
      <c r="B79" s="557"/>
      <c r="C79" s="557"/>
      <c r="D79" s="557"/>
      <c r="E79" s="557"/>
      <c r="F79" s="558"/>
      <c r="G79" s="79">
        <f>SUM(G75:G78)</f>
        <v>80320000</v>
      </c>
      <c r="H79" s="237"/>
      <c r="I79" s="593"/>
      <c r="J79" s="594"/>
      <c r="K79" s="594"/>
      <c r="L79" s="594"/>
      <c r="M79" s="594"/>
      <c r="N79" s="594"/>
      <c r="O79" s="594"/>
      <c r="P79" s="594"/>
      <c r="Q79" s="594"/>
      <c r="R79" s="594"/>
      <c r="S79" s="594"/>
      <c r="T79" s="595"/>
    </row>
    <row r="80" spans="1:20" s="4" customFormat="1" ht="19.5" customHeight="1" thickBot="1">
      <c r="A80" s="72" t="s">
        <v>44</v>
      </c>
      <c r="B80" s="140"/>
      <c r="C80" s="73"/>
      <c r="D80" s="74"/>
      <c r="E80" s="75"/>
      <c r="F80" s="76"/>
      <c r="G80" s="75"/>
      <c r="H80" s="75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8"/>
    </row>
    <row r="81" spans="1:20" s="7" customFormat="1" ht="12.75" customHeight="1">
      <c r="A81" s="550" t="s">
        <v>15</v>
      </c>
      <c r="B81" s="551"/>
      <c r="C81" s="552"/>
      <c r="D81" s="573" t="s">
        <v>35</v>
      </c>
      <c r="E81" s="574" t="s">
        <v>17</v>
      </c>
      <c r="F81" s="561" t="s">
        <v>33</v>
      </c>
      <c r="G81" s="559" t="s">
        <v>20</v>
      </c>
      <c r="H81" s="236"/>
      <c r="I81" s="578" t="s">
        <v>21</v>
      </c>
      <c r="J81" s="579"/>
      <c r="K81" s="579"/>
      <c r="L81" s="579"/>
      <c r="M81" s="579"/>
      <c r="N81" s="579"/>
      <c r="O81" s="579"/>
      <c r="P81" s="579"/>
      <c r="Q81" s="579"/>
      <c r="R81" s="579"/>
      <c r="S81" s="579"/>
      <c r="T81" s="580"/>
    </row>
    <row r="82" spans="1:20" s="8" customFormat="1" ht="13.5" customHeight="1">
      <c r="A82" s="553"/>
      <c r="B82" s="554"/>
      <c r="C82" s="555"/>
      <c r="D82" s="573"/>
      <c r="E82" s="562"/>
      <c r="F82" s="562"/>
      <c r="G82" s="560"/>
      <c r="H82" s="210"/>
      <c r="I82" s="51" t="s">
        <v>22</v>
      </c>
      <c r="J82" s="51" t="s">
        <v>58</v>
      </c>
      <c r="K82" s="51" t="s">
        <v>23</v>
      </c>
      <c r="L82" s="51" t="s">
        <v>24</v>
      </c>
      <c r="M82" s="51" t="s">
        <v>25</v>
      </c>
      <c r="N82" s="51" t="s">
        <v>26</v>
      </c>
      <c r="O82" s="51" t="s">
        <v>27</v>
      </c>
      <c r="P82" s="51" t="s">
        <v>28</v>
      </c>
      <c r="Q82" s="51" t="s">
        <v>54</v>
      </c>
      <c r="R82" s="51" t="s">
        <v>55</v>
      </c>
      <c r="S82" s="51" t="s">
        <v>56</v>
      </c>
      <c r="T82" s="52" t="s">
        <v>57</v>
      </c>
    </row>
    <row r="83" spans="1:20" s="8" customFormat="1" ht="13.5" customHeight="1">
      <c r="A83" s="665" t="s">
        <v>313</v>
      </c>
      <c r="B83" s="666"/>
      <c r="C83" s="667"/>
      <c r="D83" s="194" t="s">
        <v>327</v>
      </c>
      <c r="E83" s="195">
        <v>1</v>
      </c>
      <c r="F83" s="196">
        <v>25000000</v>
      </c>
      <c r="G83" s="197">
        <f>F83*1.004</f>
        <v>25100000</v>
      </c>
      <c r="H83" s="239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2"/>
    </row>
    <row r="84" spans="1:20" s="8" customFormat="1" ht="13.5" customHeight="1">
      <c r="A84" s="563" t="s">
        <v>318</v>
      </c>
      <c r="B84" s="564"/>
      <c r="C84" s="565"/>
      <c r="D84" s="194" t="s">
        <v>327</v>
      </c>
      <c r="E84" s="195">
        <v>1</v>
      </c>
      <c r="F84" s="196">
        <f>G84/1.004</f>
        <v>96000000</v>
      </c>
      <c r="G84" s="196">
        <v>96384000</v>
      </c>
      <c r="H84" s="239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2"/>
    </row>
    <row r="85" spans="1:20" s="8" customFormat="1" ht="13.5" customHeight="1">
      <c r="A85" s="575" t="s">
        <v>319</v>
      </c>
      <c r="B85" s="576"/>
      <c r="C85" s="577"/>
      <c r="D85" s="219" t="s">
        <v>327</v>
      </c>
      <c r="E85" s="252">
        <v>1</v>
      </c>
      <c r="F85" s="253">
        <f>G85/1.019</f>
        <v>403925417.0755643</v>
      </c>
      <c r="G85" s="254">
        <v>411600000</v>
      </c>
      <c r="H85" s="249">
        <f>G85-10000000</f>
        <v>401600000</v>
      </c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2"/>
    </row>
    <row r="86" spans="1:20" s="8" customFormat="1" ht="13.5" customHeight="1">
      <c r="A86" s="563" t="s">
        <v>329</v>
      </c>
      <c r="B86" s="564"/>
      <c r="C86" s="565"/>
      <c r="D86" s="194" t="s">
        <v>327</v>
      </c>
      <c r="E86" s="195">
        <v>1</v>
      </c>
      <c r="F86" s="196">
        <v>40000000</v>
      </c>
      <c r="G86" s="197">
        <f>F86*1.004</f>
        <v>40160000</v>
      </c>
      <c r="H86" s="239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2"/>
    </row>
    <row r="87" spans="1:20" s="8" customFormat="1" ht="13.5" customHeight="1">
      <c r="A87" s="563" t="s">
        <v>320</v>
      </c>
      <c r="B87" s="564"/>
      <c r="C87" s="565"/>
      <c r="D87" s="194" t="s">
        <v>327</v>
      </c>
      <c r="E87" s="195">
        <v>1</v>
      </c>
      <c r="F87" s="196">
        <v>10000000</v>
      </c>
      <c r="G87" s="197">
        <f aca="true" t="shared" si="1" ref="G87:G95">F87*1.004</f>
        <v>10040000</v>
      </c>
      <c r="H87" s="239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2"/>
    </row>
    <row r="88" spans="1:20" s="8" customFormat="1" ht="13.5" customHeight="1">
      <c r="A88" s="563" t="s">
        <v>321</v>
      </c>
      <c r="B88" s="564"/>
      <c r="C88" s="565"/>
      <c r="D88" s="194" t="s">
        <v>327</v>
      </c>
      <c r="E88" s="195">
        <v>1</v>
      </c>
      <c r="F88" s="196">
        <v>13650000</v>
      </c>
      <c r="G88" s="197">
        <f t="shared" si="1"/>
        <v>13704600</v>
      </c>
      <c r="H88" s="239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2"/>
    </row>
    <row r="89" spans="1:20" s="8" customFormat="1" ht="13.5" customHeight="1">
      <c r="A89" s="563" t="s">
        <v>322</v>
      </c>
      <c r="B89" s="564"/>
      <c r="C89" s="565"/>
      <c r="D89" s="194" t="s">
        <v>327</v>
      </c>
      <c r="E89" s="195">
        <v>1</v>
      </c>
      <c r="F89" s="196">
        <v>4000000</v>
      </c>
      <c r="G89" s="197">
        <f t="shared" si="1"/>
        <v>4016000</v>
      </c>
      <c r="H89" s="239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2"/>
    </row>
    <row r="90" spans="1:20" s="8" customFormat="1" ht="13.5" customHeight="1">
      <c r="A90" s="563" t="s">
        <v>323</v>
      </c>
      <c r="B90" s="564"/>
      <c r="C90" s="565"/>
      <c r="D90" s="194" t="s">
        <v>327</v>
      </c>
      <c r="E90" s="195">
        <v>1</v>
      </c>
      <c r="F90" s="196">
        <v>8000000</v>
      </c>
      <c r="G90" s="197">
        <f t="shared" si="1"/>
        <v>8032000</v>
      </c>
      <c r="H90" s="239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2"/>
    </row>
    <row r="91" spans="1:20" s="8" customFormat="1" ht="13.5" customHeight="1">
      <c r="A91" s="563" t="s">
        <v>324</v>
      </c>
      <c r="B91" s="564"/>
      <c r="C91" s="565"/>
      <c r="D91" s="194" t="s">
        <v>327</v>
      </c>
      <c r="E91" s="195">
        <v>1</v>
      </c>
      <c r="F91" s="196">
        <v>3000000</v>
      </c>
      <c r="G91" s="197">
        <f t="shared" si="1"/>
        <v>3012000</v>
      </c>
      <c r="H91" s="239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2"/>
    </row>
    <row r="92" spans="1:20" s="8" customFormat="1" ht="13.5" customHeight="1">
      <c r="A92" s="563" t="s">
        <v>325</v>
      </c>
      <c r="B92" s="564"/>
      <c r="C92" s="565"/>
      <c r="D92" s="194" t="s">
        <v>327</v>
      </c>
      <c r="E92" s="195">
        <v>1</v>
      </c>
      <c r="F92" s="196">
        <v>20000000</v>
      </c>
      <c r="G92" s="197">
        <f t="shared" si="1"/>
        <v>20080000</v>
      </c>
      <c r="H92" s="239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2"/>
    </row>
    <row r="93" spans="1:20" s="8" customFormat="1" ht="13.5" customHeight="1">
      <c r="A93" s="563" t="s">
        <v>330</v>
      </c>
      <c r="B93" s="564"/>
      <c r="C93" s="565"/>
      <c r="D93" s="194" t="s">
        <v>327</v>
      </c>
      <c r="E93" s="195">
        <v>1</v>
      </c>
      <c r="F93" s="196">
        <v>25000000</v>
      </c>
      <c r="G93" s="197">
        <f t="shared" si="1"/>
        <v>25100000</v>
      </c>
      <c r="H93" s="239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2"/>
    </row>
    <row r="94" spans="1:20" s="8" customFormat="1" ht="13.5" customHeight="1">
      <c r="A94" s="563" t="s">
        <v>331</v>
      </c>
      <c r="B94" s="564"/>
      <c r="C94" s="565"/>
      <c r="D94" s="194" t="s">
        <v>327</v>
      </c>
      <c r="E94" s="195">
        <v>1</v>
      </c>
      <c r="F94" s="196">
        <v>30000000</v>
      </c>
      <c r="G94" s="197">
        <f t="shared" si="1"/>
        <v>30120000</v>
      </c>
      <c r="H94" s="239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2"/>
    </row>
    <row r="95" spans="1:20" s="8" customFormat="1" ht="13.5" customHeight="1">
      <c r="A95" s="596" t="s">
        <v>326</v>
      </c>
      <c r="B95" s="597"/>
      <c r="C95" s="598"/>
      <c r="D95" s="219" t="s">
        <v>327</v>
      </c>
      <c r="E95" s="252">
        <v>1</v>
      </c>
      <c r="F95" s="253">
        <v>3034747614</v>
      </c>
      <c r="G95" s="254">
        <f t="shared" si="1"/>
        <v>3046886604.456</v>
      </c>
      <c r="H95" s="260" t="s">
        <v>332</v>
      </c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2"/>
    </row>
    <row r="96" spans="1:20" ht="13.5" thickBot="1">
      <c r="A96" s="556" t="s">
        <v>29</v>
      </c>
      <c r="B96" s="557"/>
      <c r="C96" s="557"/>
      <c r="D96" s="557"/>
      <c r="E96" s="557"/>
      <c r="F96" s="558"/>
      <c r="G96" s="71">
        <f>SUM(G83:G95)</f>
        <v>3734235204.456</v>
      </c>
      <c r="H96" s="235"/>
      <c r="I96" s="593"/>
      <c r="J96" s="594"/>
      <c r="K96" s="594"/>
      <c r="L96" s="594"/>
      <c r="M96" s="594"/>
      <c r="N96" s="594"/>
      <c r="O96" s="594"/>
      <c r="P96" s="594"/>
      <c r="Q96" s="594"/>
      <c r="R96" s="594"/>
      <c r="S96" s="594"/>
      <c r="T96" s="595"/>
    </row>
    <row r="97" spans="1:20" ht="18" customHeight="1" thickBot="1">
      <c r="A97" s="72" t="s">
        <v>86</v>
      </c>
      <c r="B97" s="140"/>
      <c r="C97" s="73"/>
      <c r="D97" s="74"/>
      <c r="E97" s="75"/>
      <c r="F97" s="76"/>
      <c r="G97" s="75"/>
      <c r="H97" s="75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8"/>
    </row>
    <row r="98" spans="1:20" ht="12.75">
      <c r="A98" s="550" t="s">
        <v>15</v>
      </c>
      <c r="B98" s="551"/>
      <c r="C98" s="552"/>
      <c r="D98" s="573" t="s">
        <v>35</v>
      </c>
      <c r="E98" s="574" t="s">
        <v>17</v>
      </c>
      <c r="F98" s="561" t="s">
        <v>33</v>
      </c>
      <c r="G98" s="559" t="s">
        <v>20</v>
      </c>
      <c r="H98" s="236"/>
      <c r="I98" s="578" t="s">
        <v>21</v>
      </c>
      <c r="J98" s="579"/>
      <c r="K98" s="579"/>
      <c r="L98" s="579"/>
      <c r="M98" s="579"/>
      <c r="N98" s="579"/>
      <c r="O98" s="579"/>
      <c r="P98" s="579"/>
      <c r="Q98" s="579"/>
      <c r="R98" s="579"/>
      <c r="S98" s="579"/>
      <c r="T98" s="580"/>
    </row>
    <row r="99" spans="1:20" ht="16.5">
      <c r="A99" s="553"/>
      <c r="B99" s="554"/>
      <c r="C99" s="555"/>
      <c r="D99" s="573"/>
      <c r="E99" s="562"/>
      <c r="F99" s="562"/>
      <c r="G99" s="560"/>
      <c r="H99" s="210"/>
      <c r="I99" s="51" t="s">
        <v>22</v>
      </c>
      <c r="J99" s="51" t="s">
        <v>58</v>
      </c>
      <c r="K99" s="51" t="s">
        <v>23</v>
      </c>
      <c r="L99" s="51" t="s">
        <v>24</v>
      </c>
      <c r="M99" s="51" t="s">
        <v>25</v>
      </c>
      <c r="N99" s="51" t="s">
        <v>26</v>
      </c>
      <c r="O99" s="51" t="s">
        <v>27</v>
      </c>
      <c r="P99" s="51" t="s">
        <v>28</v>
      </c>
      <c r="Q99" s="51" t="s">
        <v>54</v>
      </c>
      <c r="R99" s="51" t="s">
        <v>55</v>
      </c>
      <c r="S99" s="51" t="s">
        <v>56</v>
      </c>
      <c r="T99" s="51" t="s">
        <v>57</v>
      </c>
    </row>
    <row r="100" spans="1:20" ht="12.75">
      <c r="A100" s="585" t="s">
        <v>88</v>
      </c>
      <c r="B100" s="586"/>
      <c r="C100" s="568"/>
      <c r="D100" s="53"/>
      <c r="E100" s="47"/>
      <c r="F100" s="214">
        <v>11774920</v>
      </c>
      <c r="G100" s="215">
        <f>F100</f>
        <v>11774920</v>
      </c>
      <c r="H100" s="215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</row>
    <row r="101" spans="1:20" ht="12.75">
      <c r="A101" s="585" t="s">
        <v>106</v>
      </c>
      <c r="B101" s="586"/>
      <c r="C101" s="568"/>
      <c r="D101" s="53"/>
      <c r="E101" s="47"/>
      <c r="F101" s="214">
        <v>1582000</v>
      </c>
      <c r="G101" s="215">
        <f>F101</f>
        <v>1582000</v>
      </c>
      <c r="H101" s="215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</row>
    <row r="102" spans="1:20" ht="12.75">
      <c r="A102" s="585" t="s">
        <v>107</v>
      </c>
      <c r="B102" s="586"/>
      <c r="C102" s="568"/>
      <c r="D102" s="53"/>
      <c r="E102" s="47"/>
      <c r="F102" s="216">
        <v>172928640.8</v>
      </c>
      <c r="G102" s="215">
        <f>F102</f>
        <v>172928640.8</v>
      </c>
      <c r="H102" s="215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</row>
    <row r="103" spans="1:20" ht="12.75">
      <c r="A103" s="566" t="s">
        <v>108</v>
      </c>
      <c r="B103" s="567"/>
      <c r="C103" s="568"/>
      <c r="D103" s="53"/>
      <c r="E103" s="47"/>
      <c r="F103" s="216">
        <v>5756900</v>
      </c>
      <c r="G103" s="215">
        <f>F103</f>
        <v>5756900</v>
      </c>
      <c r="H103" s="215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</row>
    <row r="104" spans="1:20" ht="12.75">
      <c r="A104" s="566" t="s">
        <v>105</v>
      </c>
      <c r="B104" s="567"/>
      <c r="C104" s="568"/>
      <c r="D104" s="53"/>
      <c r="E104" s="47"/>
      <c r="F104" s="46"/>
      <c r="G104" s="47"/>
      <c r="H104" s="47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</row>
    <row r="105" spans="1:20" ht="12.75">
      <c r="A105" s="590" t="s">
        <v>29</v>
      </c>
      <c r="B105" s="591"/>
      <c r="C105" s="591"/>
      <c r="D105" s="591"/>
      <c r="E105" s="591"/>
      <c r="F105" s="592"/>
      <c r="G105" s="71">
        <f>SUM(G100:G104)</f>
        <v>192042460.8</v>
      </c>
      <c r="H105" s="235"/>
      <c r="I105" s="587"/>
      <c r="J105" s="588"/>
      <c r="K105" s="588"/>
      <c r="L105" s="588"/>
      <c r="M105" s="588"/>
      <c r="N105" s="588"/>
      <c r="O105" s="588"/>
      <c r="P105" s="588"/>
      <c r="Q105" s="588"/>
      <c r="R105" s="588"/>
      <c r="S105" s="588"/>
      <c r="T105" s="589"/>
    </row>
    <row r="106" spans="1:20" ht="12.75">
      <c r="A106" s="581" t="s">
        <v>87</v>
      </c>
      <c r="B106" s="581"/>
      <c r="C106" s="581"/>
      <c r="D106" s="581"/>
      <c r="E106" s="581"/>
      <c r="F106" s="581"/>
      <c r="G106" s="47">
        <f>G38+G46+G55+G63+G71+G79+G96</f>
        <v>4765071568.452</v>
      </c>
      <c r="H106" s="240"/>
      <c r="I106" s="582"/>
      <c r="J106" s="583"/>
      <c r="K106" s="583"/>
      <c r="L106" s="583"/>
      <c r="M106" s="583"/>
      <c r="N106" s="583"/>
      <c r="O106" s="583"/>
      <c r="P106" s="583"/>
      <c r="Q106" s="583"/>
      <c r="R106" s="583"/>
      <c r="S106" s="583"/>
      <c r="T106" s="584"/>
    </row>
    <row r="107" spans="1:20" ht="12.75">
      <c r="A107" s="80"/>
      <c r="B107" s="80"/>
      <c r="C107" s="80"/>
      <c r="D107" s="81"/>
      <c r="E107" s="82"/>
      <c r="F107" s="83"/>
      <c r="G107" s="82"/>
      <c r="H107" s="82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</row>
    <row r="108" ht="12.75">
      <c r="G108" s="259">
        <f>G106-G95</f>
        <v>1718184963.9959998</v>
      </c>
    </row>
    <row r="109" spans="7:10" ht="12.75">
      <c r="G109" s="13"/>
      <c r="H109" s="13"/>
      <c r="I109" s="13"/>
      <c r="J109" s="13"/>
    </row>
    <row r="110" spans="7:10" ht="12.75">
      <c r="G110" s="251"/>
      <c r="H110" s="258"/>
      <c r="I110" s="13"/>
      <c r="J110" s="13"/>
    </row>
    <row r="111" spans="7:10" ht="12.75">
      <c r="G111" s="13"/>
      <c r="H111" s="13"/>
      <c r="I111" s="13"/>
      <c r="J111" s="13"/>
    </row>
    <row r="112" spans="7:10" ht="12.75">
      <c r="G112" s="13"/>
      <c r="H112" s="258"/>
      <c r="I112" s="13"/>
      <c r="J112" s="13"/>
    </row>
  </sheetData>
  <sheetProtection/>
  <mergeCells count="131">
    <mergeCell ref="G73:G74"/>
    <mergeCell ref="A60:C60"/>
    <mergeCell ref="F73:F74"/>
    <mergeCell ref="I71:T71"/>
    <mergeCell ref="A67:B67"/>
    <mergeCell ref="A68:B68"/>
    <mergeCell ref="A69:B69"/>
    <mergeCell ref="A63:F63"/>
    <mergeCell ref="G40:G41"/>
    <mergeCell ref="E40:E41"/>
    <mergeCell ref="A55:F55"/>
    <mergeCell ref="A47:G47"/>
    <mergeCell ref="G65:G66"/>
    <mergeCell ref="C65:C66"/>
    <mergeCell ref="A65:B66"/>
    <mergeCell ref="A42:C42"/>
    <mergeCell ref="A53:C53"/>
    <mergeCell ref="A49:C50"/>
    <mergeCell ref="I38:T38"/>
    <mergeCell ref="I47:O47"/>
    <mergeCell ref="I55:T55"/>
    <mergeCell ref="A54:C54"/>
    <mergeCell ref="E57:E58"/>
    <mergeCell ref="A83:C83"/>
    <mergeCell ref="D40:D41"/>
    <mergeCell ref="I40:T40"/>
    <mergeCell ref="I73:T73"/>
    <mergeCell ref="G57:G58"/>
    <mergeCell ref="A14:C14"/>
    <mergeCell ref="A15:C15"/>
    <mergeCell ref="D20:D21"/>
    <mergeCell ref="A20:A21"/>
    <mergeCell ref="A17:C17"/>
    <mergeCell ref="A18:F18"/>
    <mergeCell ref="A38:F38"/>
    <mergeCell ref="B20:B21"/>
    <mergeCell ref="A40:C41"/>
    <mergeCell ref="A43:C43"/>
    <mergeCell ref="A44:C44"/>
    <mergeCell ref="M1:T1"/>
    <mergeCell ref="M2:T2"/>
    <mergeCell ref="M3:P3"/>
    <mergeCell ref="A13:C13"/>
    <mergeCell ref="A7:T8"/>
    <mergeCell ref="A12:C12"/>
    <mergeCell ref="C3:L4"/>
    <mergeCell ref="C1:L2"/>
    <mergeCell ref="D10:D11"/>
    <mergeCell ref="F10:F11"/>
    <mergeCell ref="Q3:T3"/>
    <mergeCell ref="A5:T6"/>
    <mergeCell ref="I57:T57"/>
    <mergeCell ref="F49:F50"/>
    <mergeCell ref="M4:P4"/>
    <mergeCell ref="Q4:T4"/>
    <mergeCell ref="E10:E11"/>
    <mergeCell ref="A19:G19"/>
    <mergeCell ref="A1:A4"/>
    <mergeCell ref="A10:C11"/>
    <mergeCell ref="G10:G11"/>
    <mergeCell ref="A45:C45"/>
    <mergeCell ref="I79:T79"/>
    <mergeCell ref="A61:C61"/>
    <mergeCell ref="A57:C58"/>
    <mergeCell ref="A59:C59"/>
    <mergeCell ref="I63:T63"/>
    <mergeCell ref="C20:C21"/>
    <mergeCell ref="I65:T65"/>
    <mergeCell ref="I20:T20"/>
    <mergeCell ref="F57:F58"/>
    <mergeCell ref="E20:E21"/>
    <mergeCell ref="G81:G82"/>
    <mergeCell ref="A9:G9"/>
    <mergeCell ref="A16:C16"/>
    <mergeCell ref="F20:F21"/>
    <mergeCell ref="G20:G21"/>
    <mergeCell ref="E49:E50"/>
    <mergeCell ref="F40:F41"/>
    <mergeCell ref="A39:G39"/>
    <mergeCell ref="D49:D50"/>
    <mergeCell ref="A46:F46"/>
    <mergeCell ref="I96:T96"/>
    <mergeCell ref="A84:C84"/>
    <mergeCell ref="A90:C90"/>
    <mergeCell ref="A93:C93"/>
    <mergeCell ref="A95:C95"/>
    <mergeCell ref="I49:T49"/>
    <mergeCell ref="I81:T81"/>
    <mergeCell ref="A81:C82"/>
    <mergeCell ref="D65:D66"/>
    <mergeCell ref="G49:G50"/>
    <mergeCell ref="I98:T98"/>
    <mergeCell ref="A106:F106"/>
    <mergeCell ref="I106:T106"/>
    <mergeCell ref="A100:C100"/>
    <mergeCell ref="A101:C101"/>
    <mergeCell ref="A102:C102"/>
    <mergeCell ref="I105:T105"/>
    <mergeCell ref="F98:F99"/>
    <mergeCell ref="A104:C104"/>
    <mergeCell ref="A105:F105"/>
    <mergeCell ref="D98:D99"/>
    <mergeCell ref="E98:E99"/>
    <mergeCell ref="A51:C51"/>
    <mergeCell ref="D57:D58"/>
    <mergeCell ref="A79:F79"/>
    <mergeCell ref="A85:C85"/>
    <mergeCell ref="A91:C91"/>
    <mergeCell ref="A88:C88"/>
    <mergeCell ref="F65:F66"/>
    <mergeCell ref="A76:E76"/>
    <mergeCell ref="A103:C103"/>
    <mergeCell ref="A52:C52"/>
    <mergeCell ref="A70:B70"/>
    <mergeCell ref="A75:E75"/>
    <mergeCell ref="E65:E66"/>
    <mergeCell ref="A89:C89"/>
    <mergeCell ref="A94:C94"/>
    <mergeCell ref="A92:C92"/>
    <mergeCell ref="D81:D82"/>
    <mergeCell ref="E81:E82"/>
    <mergeCell ref="A77:E77"/>
    <mergeCell ref="A73:E74"/>
    <mergeCell ref="A78:E78"/>
    <mergeCell ref="A71:F71"/>
    <mergeCell ref="G98:G99"/>
    <mergeCell ref="A96:F96"/>
    <mergeCell ref="F81:F82"/>
    <mergeCell ref="A86:C86"/>
    <mergeCell ref="A87:C87"/>
    <mergeCell ref="A98:C99"/>
  </mergeCells>
  <printOptions horizontalCentered="1" verticalCentered="1"/>
  <pageMargins left="0" right="0" top="0" bottom="0" header="0" footer="0"/>
  <pageSetup horizontalDpi="600" verticalDpi="600" orientation="landscape" paperSize="122" scale="67" r:id="rId4"/>
  <rowBreaks count="1" manualBreakCount="1">
    <brk id="55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29"/>
  <sheetViews>
    <sheetView zoomScale="71" zoomScaleNormal="71" zoomScaleSheetLayoutView="100" zoomScalePageLayoutView="0" workbookViewId="0" topLeftCell="E32">
      <selection activeCell="H38" sqref="H38"/>
    </sheetView>
  </sheetViews>
  <sheetFormatPr defaultColWidth="11.421875" defaultRowHeight="12.75"/>
  <cols>
    <col min="1" max="1" width="12.7109375" style="277" hidden="1" customWidth="1"/>
    <col min="2" max="2" width="17.140625" style="1" hidden="1" customWidth="1"/>
    <col min="3" max="4" width="30.00390625" style="1" hidden="1" customWidth="1"/>
    <col min="5" max="5" width="34.28125" style="3" customWidth="1"/>
    <col min="6" max="6" width="37.57421875" style="3" customWidth="1"/>
    <col min="7" max="7" width="18.00390625" style="1" customWidth="1"/>
    <col min="8" max="8" width="13.7109375" style="11" customWidth="1"/>
    <col min="9" max="9" width="14.421875" style="12" customWidth="1"/>
    <col min="10" max="10" width="39.140625" style="13" customWidth="1"/>
    <col min="11" max="11" width="19.421875" style="12" customWidth="1"/>
    <col min="12" max="12" width="5.7109375" style="5" customWidth="1"/>
    <col min="13" max="13" width="7.00390625" style="5" customWidth="1"/>
    <col min="14" max="14" width="6.7109375" style="5" customWidth="1"/>
    <col min="15" max="15" width="9.8515625" style="5" bestFit="1" customWidth="1"/>
    <col min="16" max="22" width="5.7109375" style="5" customWidth="1"/>
    <col min="23" max="23" width="6.28125" style="5" customWidth="1"/>
    <col min="24" max="24" width="12.28125" style="1" bestFit="1" customWidth="1"/>
    <col min="25" max="25" width="20.140625" style="1" bestFit="1" customWidth="1"/>
    <col min="26" max="26" width="20.421875" style="1" bestFit="1" customWidth="1"/>
    <col min="27" max="27" width="15.421875" style="1" bestFit="1" customWidth="1"/>
    <col min="28" max="33" width="11.421875" style="1" customWidth="1"/>
    <col min="34" max="16384" width="11.421875" style="1" customWidth="1"/>
  </cols>
  <sheetData>
    <row r="1" spans="5:23" ht="34.5" customHeight="1">
      <c r="E1" s="677"/>
      <c r="F1" s="286"/>
      <c r="G1" s="633" t="s">
        <v>14</v>
      </c>
      <c r="H1" s="634"/>
      <c r="I1" s="634"/>
      <c r="J1" s="634"/>
      <c r="K1" s="634"/>
      <c r="L1" s="634"/>
      <c r="M1" s="634"/>
      <c r="N1" s="634"/>
      <c r="O1" s="634"/>
      <c r="P1" s="656" t="s">
        <v>92</v>
      </c>
      <c r="Q1" s="657"/>
      <c r="R1" s="657"/>
      <c r="S1" s="657"/>
      <c r="T1" s="657"/>
      <c r="U1" s="657"/>
      <c r="V1" s="657"/>
      <c r="W1" s="658"/>
    </row>
    <row r="2" spans="5:23" ht="25.5" customHeight="1">
      <c r="E2" s="678"/>
      <c r="F2" s="287"/>
      <c r="G2" s="635"/>
      <c r="H2" s="636"/>
      <c r="I2" s="636"/>
      <c r="J2" s="636"/>
      <c r="K2" s="636"/>
      <c r="L2" s="636"/>
      <c r="M2" s="636"/>
      <c r="N2" s="636"/>
      <c r="O2" s="636"/>
      <c r="P2" s="659" t="s">
        <v>51</v>
      </c>
      <c r="Q2" s="660"/>
      <c r="R2" s="660"/>
      <c r="S2" s="660"/>
      <c r="T2" s="660"/>
      <c r="U2" s="660"/>
      <c r="V2" s="660"/>
      <c r="W2" s="661"/>
    </row>
    <row r="3" spans="5:23" ht="19.5" customHeight="1">
      <c r="E3" s="678"/>
      <c r="F3" s="287"/>
      <c r="G3" s="627" t="s">
        <v>50</v>
      </c>
      <c r="H3" s="628"/>
      <c r="I3" s="628"/>
      <c r="J3" s="628"/>
      <c r="K3" s="628"/>
      <c r="L3" s="628"/>
      <c r="M3" s="628"/>
      <c r="N3" s="628"/>
      <c r="O3" s="629"/>
      <c r="P3" s="456" t="s">
        <v>52</v>
      </c>
      <c r="Q3" s="456"/>
      <c r="R3" s="456"/>
      <c r="S3" s="456"/>
      <c r="T3" s="637" t="s">
        <v>65</v>
      </c>
      <c r="U3" s="637"/>
      <c r="V3" s="637"/>
      <c r="W3" s="638"/>
    </row>
    <row r="4" spans="5:23" ht="21.75" customHeight="1" thickBot="1">
      <c r="E4" s="678"/>
      <c r="F4" s="287"/>
      <c r="G4" s="630"/>
      <c r="H4" s="631"/>
      <c r="I4" s="631"/>
      <c r="J4" s="631"/>
      <c r="K4" s="631"/>
      <c r="L4" s="631"/>
      <c r="M4" s="631"/>
      <c r="N4" s="631"/>
      <c r="O4" s="632"/>
      <c r="P4" s="614" t="str">
        <f>+'POA H.A.'!K4</f>
        <v>Versión 2</v>
      </c>
      <c r="Q4" s="615"/>
      <c r="R4" s="615"/>
      <c r="S4" s="616"/>
      <c r="T4" s="617">
        <f>+'POA H.A.'!O4</f>
        <v>44015</v>
      </c>
      <c r="U4" s="618"/>
      <c r="V4" s="618"/>
      <c r="W4" s="619"/>
    </row>
    <row r="5" spans="5:23" ht="12.75" customHeight="1">
      <c r="E5" s="639" t="s">
        <v>53</v>
      </c>
      <c r="F5" s="640"/>
      <c r="G5" s="641"/>
      <c r="H5" s="641"/>
      <c r="I5" s="641"/>
      <c r="J5" s="641"/>
      <c r="K5" s="641"/>
      <c r="L5" s="641"/>
      <c r="M5" s="641"/>
      <c r="N5" s="641"/>
      <c r="O5" s="641"/>
      <c r="P5" s="641"/>
      <c r="Q5" s="641"/>
      <c r="R5" s="641"/>
      <c r="S5" s="641"/>
      <c r="T5" s="641"/>
      <c r="U5" s="641"/>
      <c r="V5" s="641"/>
      <c r="W5" s="642"/>
    </row>
    <row r="6" spans="5:23" ht="12.75" customHeight="1" thickBot="1">
      <c r="E6" s="643"/>
      <c r="F6" s="644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5"/>
      <c r="R6" s="645"/>
      <c r="S6" s="645"/>
      <c r="T6" s="645"/>
      <c r="U6" s="645"/>
      <c r="V6" s="645"/>
      <c r="W6" s="646"/>
    </row>
    <row r="7" spans="5:23" ht="18" customHeight="1">
      <c r="E7" s="662" t="s">
        <v>258</v>
      </c>
      <c r="F7" s="662"/>
      <c r="G7" s="662"/>
      <c r="H7" s="662"/>
      <c r="I7" s="662"/>
      <c r="J7" s="662"/>
      <c r="K7" s="662"/>
      <c r="L7" s="662"/>
      <c r="M7" s="662"/>
      <c r="N7" s="662"/>
      <c r="O7" s="662"/>
      <c r="P7" s="662"/>
      <c r="Q7" s="662"/>
      <c r="R7" s="662"/>
      <c r="S7" s="662"/>
      <c r="T7" s="662"/>
      <c r="U7" s="662"/>
      <c r="V7" s="662"/>
      <c r="W7" s="662"/>
    </row>
    <row r="8" spans="5:23" ht="13.5" thickBot="1"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2"/>
      <c r="T8" s="662"/>
      <c r="U8" s="662"/>
      <c r="V8" s="662"/>
      <c r="W8" s="662"/>
    </row>
    <row r="9" spans="1:23" s="39" customFormat="1" ht="18" customHeight="1">
      <c r="A9" s="278"/>
      <c r="E9" s="604" t="s">
        <v>85</v>
      </c>
      <c r="F9" s="605"/>
      <c r="G9" s="605"/>
      <c r="H9" s="605"/>
      <c r="I9" s="605"/>
      <c r="J9" s="605"/>
      <c r="K9" s="605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1"/>
    </row>
    <row r="10" spans="5:23" ht="12.75" customHeight="1">
      <c r="E10" s="622" t="s">
        <v>82</v>
      </c>
      <c r="F10" s="623"/>
      <c r="G10" s="623"/>
      <c r="H10" s="573" t="s">
        <v>81</v>
      </c>
      <c r="I10" s="573" t="s">
        <v>78</v>
      </c>
      <c r="J10" s="606" t="s">
        <v>17</v>
      </c>
      <c r="K10" s="606" t="s">
        <v>79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85"/>
    </row>
    <row r="11" spans="5:23" ht="12.75">
      <c r="E11" s="553"/>
      <c r="F11" s="554"/>
      <c r="G11" s="554"/>
      <c r="H11" s="573"/>
      <c r="I11" s="573"/>
      <c r="J11" s="606"/>
      <c r="K11" s="606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86"/>
    </row>
    <row r="12" spans="5:23" ht="12.75">
      <c r="E12" s="547" t="s">
        <v>80</v>
      </c>
      <c r="F12" s="548"/>
      <c r="G12" s="549"/>
      <c r="H12" s="44"/>
      <c r="I12" s="164"/>
      <c r="J12" s="165"/>
      <c r="K12" s="212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86"/>
    </row>
    <row r="13" spans="5:23" ht="12.75">
      <c r="E13" s="547" t="s">
        <v>74</v>
      </c>
      <c r="F13" s="548"/>
      <c r="G13" s="548"/>
      <c r="H13" s="46"/>
      <c r="I13" s="164">
        <v>16</v>
      </c>
      <c r="J13" s="165">
        <v>1</v>
      </c>
      <c r="K13" s="47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87"/>
    </row>
    <row r="14" spans="5:23" ht="12.75">
      <c r="E14" s="547" t="s">
        <v>75</v>
      </c>
      <c r="F14" s="548"/>
      <c r="G14" s="548"/>
      <c r="H14" s="46"/>
      <c r="I14" s="164">
        <v>8</v>
      </c>
      <c r="J14" s="165">
        <v>2</v>
      </c>
      <c r="K14" s="47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87"/>
    </row>
    <row r="15" spans="5:23" ht="12.75">
      <c r="E15" s="547" t="s">
        <v>76</v>
      </c>
      <c r="F15" s="548"/>
      <c r="G15" s="548"/>
      <c r="H15" s="46"/>
      <c r="I15" s="164">
        <v>12</v>
      </c>
      <c r="J15" s="165">
        <v>1</v>
      </c>
      <c r="K15" s="47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87"/>
    </row>
    <row r="16" spans="5:23" ht="12.75">
      <c r="E16" s="547" t="s">
        <v>76</v>
      </c>
      <c r="F16" s="548"/>
      <c r="G16" s="548"/>
      <c r="H16" s="211"/>
      <c r="I16" s="164">
        <v>10</v>
      </c>
      <c r="J16" s="165">
        <v>1</v>
      </c>
      <c r="K16" s="47"/>
      <c r="L16" s="48"/>
      <c r="M16" s="48"/>
      <c r="N16" s="296">
        <f>'POA H.B.'!K93+'POA H.B.'!K92+'POA H.B.'!K91+'POA H.B.'!K90</f>
        <v>82858454</v>
      </c>
      <c r="O16" s="48"/>
      <c r="P16" s="48"/>
      <c r="Q16" s="48"/>
      <c r="R16" s="48"/>
      <c r="S16" s="48"/>
      <c r="T16" s="48"/>
      <c r="U16" s="48"/>
      <c r="V16" s="48"/>
      <c r="W16" s="87"/>
    </row>
    <row r="17" spans="5:23" ht="12.75">
      <c r="E17" s="547" t="s">
        <v>77</v>
      </c>
      <c r="F17" s="548"/>
      <c r="G17" s="548"/>
      <c r="H17" s="46"/>
      <c r="I17" s="248">
        <v>1.05</v>
      </c>
      <c r="J17" s="225"/>
      <c r="K17" s="47"/>
      <c r="L17" s="48"/>
      <c r="M17" s="221"/>
      <c r="N17" s="48"/>
      <c r="O17" s="273">
        <f>'POA H.B.'!K31+'POA H.B.'!K32+'POA H.B.'!K33</f>
        <v>100409538</v>
      </c>
      <c r="P17" s="48"/>
      <c r="Q17" s="48"/>
      <c r="R17" s="48"/>
      <c r="S17" s="48"/>
      <c r="T17" s="48"/>
      <c r="U17" s="48"/>
      <c r="V17" s="48"/>
      <c r="W17" s="87"/>
    </row>
    <row r="18" spans="5:23" ht="13.5" thickBot="1">
      <c r="E18" s="556" t="s">
        <v>29</v>
      </c>
      <c r="F18" s="557"/>
      <c r="G18" s="557"/>
      <c r="H18" s="557"/>
      <c r="I18" s="557"/>
      <c r="J18" s="558"/>
      <c r="K18" s="56">
        <f>SUM(K12:K17)</f>
        <v>0</v>
      </c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</row>
    <row r="19" spans="5:23" ht="18.75" customHeight="1">
      <c r="E19" s="609" t="s">
        <v>165</v>
      </c>
      <c r="F19" s="610"/>
      <c r="G19" s="610"/>
      <c r="H19" s="610"/>
      <c r="I19" s="610"/>
      <c r="J19" s="610"/>
      <c r="K19" s="610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50"/>
    </row>
    <row r="20" spans="1:23" s="7" customFormat="1" ht="11.25" customHeight="1">
      <c r="A20" s="279"/>
      <c r="E20" s="675" t="s">
        <v>163</v>
      </c>
      <c r="F20" s="676" t="s">
        <v>16</v>
      </c>
      <c r="G20" s="573" t="s">
        <v>164</v>
      </c>
      <c r="H20" s="606" t="s">
        <v>17</v>
      </c>
      <c r="I20" s="606" t="s">
        <v>18</v>
      </c>
      <c r="J20" s="573" t="s">
        <v>19</v>
      </c>
      <c r="K20" s="606" t="s">
        <v>20</v>
      </c>
      <c r="L20" s="599" t="s">
        <v>21</v>
      </c>
      <c r="M20" s="600"/>
      <c r="N20" s="600"/>
      <c r="O20" s="600"/>
      <c r="P20" s="600"/>
      <c r="Q20" s="600"/>
      <c r="R20" s="600"/>
      <c r="S20" s="600"/>
      <c r="T20" s="600"/>
      <c r="U20" s="600"/>
      <c r="V20" s="600"/>
      <c r="W20" s="601"/>
    </row>
    <row r="21" spans="1:23" s="8" customFormat="1" ht="38.25">
      <c r="A21" s="276" t="s">
        <v>439</v>
      </c>
      <c r="B21" s="194" t="s">
        <v>440</v>
      </c>
      <c r="C21" s="194" t="s">
        <v>441</v>
      </c>
      <c r="D21" s="300"/>
      <c r="E21" s="675"/>
      <c r="F21" s="676"/>
      <c r="G21" s="573"/>
      <c r="H21" s="606"/>
      <c r="I21" s="606"/>
      <c r="J21" s="573"/>
      <c r="K21" s="606"/>
      <c r="L21" s="51" t="s">
        <v>22</v>
      </c>
      <c r="M21" s="51" t="s">
        <v>58</v>
      </c>
      <c r="N21" s="51" t="s">
        <v>23</v>
      </c>
      <c r="O21" s="51" t="s">
        <v>24</v>
      </c>
      <c r="P21" s="51" t="s">
        <v>25</v>
      </c>
      <c r="Q21" s="51" t="s">
        <v>26</v>
      </c>
      <c r="R21" s="51" t="s">
        <v>27</v>
      </c>
      <c r="S21" s="51" t="s">
        <v>28</v>
      </c>
      <c r="T21" s="51" t="s">
        <v>54</v>
      </c>
      <c r="U21" s="51" t="s">
        <v>55</v>
      </c>
      <c r="V21" s="51" t="s">
        <v>56</v>
      </c>
      <c r="W21" s="52" t="s">
        <v>57</v>
      </c>
    </row>
    <row r="22" spans="1:27" s="8" customFormat="1" ht="165.75">
      <c r="A22" s="276">
        <v>36</v>
      </c>
      <c r="B22" s="194" t="s">
        <v>442</v>
      </c>
      <c r="C22" s="194" t="s">
        <v>443</v>
      </c>
      <c r="D22" s="301" t="s">
        <v>265</v>
      </c>
      <c r="E22" s="282" t="s">
        <v>281</v>
      </c>
      <c r="F22" s="223" t="s">
        <v>265</v>
      </c>
      <c r="G22" s="194" t="s">
        <v>463</v>
      </c>
      <c r="H22" s="241">
        <v>1</v>
      </c>
      <c r="I22" s="166">
        <v>2252850</v>
      </c>
      <c r="J22" s="371">
        <v>8.5</v>
      </c>
      <c r="K22" s="166">
        <f>(I22*J22)*1.004</f>
        <v>19225821.9</v>
      </c>
      <c r="L22" s="51"/>
      <c r="M22" s="51"/>
      <c r="N22" s="51"/>
      <c r="O22" s="51"/>
      <c r="P22" s="51"/>
      <c r="Q22" s="51"/>
      <c r="R22" s="51"/>
      <c r="S22" s="51"/>
      <c r="T22" s="51"/>
      <c r="U22" s="217"/>
      <c r="V22" s="217"/>
      <c r="W22" s="303"/>
      <c r="X22" s="376" t="s">
        <v>510</v>
      </c>
      <c r="Y22" s="376"/>
      <c r="Z22" s="375">
        <f>K22+K23+K24+K25</f>
        <v>112119039.4</v>
      </c>
      <c r="AA22" s="376"/>
    </row>
    <row r="23" spans="1:27" s="8" customFormat="1" ht="165.75">
      <c r="A23" s="276">
        <v>36</v>
      </c>
      <c r="B23" s="194">
        <v>18</v>
      </c>
      <c r="C23" s="194" t="s">
        <v>444</v>
      </c>
      <c r="D23" s="301" t="s">
        <v>267</v>
      </c>
      <c r="E23" s="282" t="s">
        <v>281</v>
      </c>
      <c r="F23" s="223" t="s">
        <v>468</v>
      </c>
      <c r="G23" s="194" t="s">
        <v>485</v>
      </c>
      <c r="H23" s="241">
        <v>1</v>
      </c>
      <c r="I23" s="166">
        <v>2735950</v>
      </c>
      <c r="J23" s="194">
        <v>10</v>
      </c>
      <c r="K23" s="166">
        <f aca="true" t="shared" si="0" ref="K23:K37">(I23*J23)*1.004</f>
        <v>27468938</v>
      </c>
      <c r="L23" s="51"/>
      <c r="M23" s="51"/>
      <c r="N23" s="51"/>
      <c r="O23" s="51"/>
      <c r="P23" s="51"/>
      <c r="Q23" s="51"/>
      <c r="R23" s="51"/>
      <c r="S23" s="51"/>
      <c r="T23" s="51"/>
      <c r="U23" s="217"/>
      <c r="V23" s="217"/>
      <c r="W23" s="303"/>
      <c r="X23" s="376" t="s">
        <v>511</v>
      </c>
      <c r="Y23" s="376"/>
      <c r="Z23" s="376"/>
      <c r="AA23" s="376"/>
    </row>
    <row r="24" spans="1:27" s="8" customFormat="1" ht="165.75">
      <c r="A24" s="276">
        <v>36</v>
      </c>
      <c r="B24" s="194">
        <v>18</v>
      </c>
      <c r="C24" s="194" t="s">
        <v>445</v>
      </c>
      <c r="D24" s="301" t="s">
        <v>269</v>
      </c>
      <c r="E24" s="282" t="s">
        <v>281</v>
      </c>
      <c r="F24" s="223" t="s">
        <v>470</v>
      </c>
      <c r="G24" s="194" t="s">
        <v>484</v>
      </c>
      <c r="H24" s="241">
        <v>1</v>
      </c>
      <c r="I24" s="166">
        <v>2735950</v>
      </c>
      <c r="J24" s="371">
        <v>7.5</v>
      </c>
      <c r="K24" s="166">
        <f t="shared" si="0"/>
        <v>20601703.5</v>
      </c>
      <c r="L24" s="51"/>
      <c r="M24" s="51"/>
      <c r="N24" s="51"/>
      <c r="O24" s="51"/>
      <c r="P24" s="51"/>
      <c r="Q24" s="51"/>
      <c r="R24" s="51"/>
      <c r="S24" s="51"/>
      <c r="T24" s="51"/>
      <c r="U24" s="217"/>
      <c r="V24" s="217"/>
      <c r="W24" s="303"/>
      <c r="X24" s="376" t="s">
        <v>527</v>
      </c>
      <c r="Y24" s="376"/>
      <c r="Z24" s="376"/>
      <c r="AA24" s="376"/>
    </row>
    <row r="25" spans="1:27" s="8" customFormat="1" ht="140.25">
      <c r="A25" s="276" t="s">
        <v>457</v>
      </c>
      <c r="B25" s="194">
        <v>15</v>
      </c>
      <c r="C25" s="194" t="s">
        <v>456</v>
      </c>
      <c r="D25" s="301" t="s">
        <v>271</v>
      </c>
      <c r="E25" s="304" t="s">
        <v>282</v>
      </c>
      <c r="F25" s="223" t="s">
        <v>469</v>
      </c>
      <c r="G25" s="194" t="s">
        <v>483</v>
      </c>
      <c r="H25" s="241">
        <v>1</v>
      </c>
      <c r="I25" s="166">
        <v>4464400</v>
      </c>
      <c r="J25" s="194">
        <v>10</v>
      </c>
      <c r="K25" s="166">
        <f t="shared" si="0"/>
        <v>44822576</v>
      </c>
      <c r="L25" s="51"/>
      <c r="M25" s="51"/>
      <c r="N25" s="51"/>
      <c r="O25" s="51"/>
      <c r="P25" s="51"/>
      <c r="Q25" s="51"/>
      <c r="R25" s="51"/>
      <c r="S25" s="51"/>
      <c r="T25" s="51"/>
      <c r="U25" s="217"/>
      <c r="V25" s="217"/>
      <c r="W25" s="303"/>
      <c r="X25" s="376" t="s">
        <v>512</v>
      </c>
      <c r="Y25" s="376"/>
      <c r="Z25" s="376"/>
      <c r="AA25" s="376"/>
    </row>
    <row r="26" spans="1:27" s="8" customFormat="1" ht="140.25">
      <c r="A26" s="276" t="s">
        <v>457</v>
      </c>
      <c r="B26" s="194">
        <v>15</v>
      </c>
      <c r="C26" s="194" t="s">
        <v>446</v>
      </c>
      <c r="D26" s="301" t="s">
        <v>273</v>
      </c>
      <c r="E26" s="304" t="s">
        <v>282</v>
      </c>
      <c r="F26" s="223" t="s">
        <v>471</v>
      </c>
      <c r="G26" s="194" t="s">
        <v>482</v>
      </c>
      <c r="H26" s="241">
        <v>1</v>
      </c>
      <c r="I26" s="166">
        <v>3435950</v>
      </c>
      <c r="J26" s="194">
        <v>10</v>
      </c>
      <c r="K26" s="166">
        <f t="shared" si="0"/>
        <v>34496938</v>
      </c>
      <c r="L26" s="51"/>
      <c r="M26" s="51"/>
      <c r="N26" s="51"/>
      <c r="O26" s="51"/>
      <c r="P26" s="51"/>
      <c r="Q26" s="51"/>
      <c r="R26" s="51"/>
      <c r="S26" s="51"/>
      <c r="T26" s="51"/>
      <c r="U26" s="217"/>
      <c r="V26" s="217"/>
      <c r="W26" s="303"/>
      <c r="X26" s="376" t="s">
        <v>446</v>
      </c>
      <c r="Y26" s="376"/>
      <c r="Z26" s="377">
        <f>K26+K27+K28+K29+K30</f>
        <v>167299607.3</v>
      </c>
      <c r="AA26" s="376"/>
    </row>
    <row r="27" spans="1:27" s="8" customFormat="1" ht="140.25">
      <c r="A27" s="276" t="s">
        <v>458</v>
      </c>
      <c r="B27" s="194">
        <v>12</v>
      </c>
      <c r="C27" s="194" t="s">
        <v>447</v>
      </c>
      <c r="D27" s="301" t="s">
        <v>275</v>
      </c>
      <c r="E27" s="304" t="s">
        <v>282</v>
      </c>
      <c r="F27" s="223" t="s">
        <v>473</v>
      </c>
      <c r="G27" s="194" t="s">
        <v>481</v>
      </c>
      <c r="H27" s="241">
        <v>1</v>
      </c>
      <c r="I27" s="166">
        <v>4175600</v>
      </c>
      <c r="J27" s="194">
        <v>10</v>
      </c>
      <c r="K27" s="166">
        <f t="shared" si="0"/>
        <v>41923024</v>
      </c>
      <c r="L27" s="51"/>
      <c r="M27" s="51"/>
      <c r="N27" s="51"/>
      <c r="O27" s="51"/>
      <c r="P27" s="51"/>
      <c r="Q27" s="51"/>
      <c r="R27" s="51"/>
      <c r="S27" s="51"/>
      <c r="T27" s="51"/>
      <c r="U27" s="217"/>
      <c r="V27" s="217"/>
      <c r="W27" s="303"/>
      <c r="X27" s="376" t="s">
        <v>513</v>
      </c>
      <c r="Y27" s="376"/>
      <c r="Z27" s="376"/>
      <c r="AA27" s="376"/>
    </row>
    <row r="28" spans="1:27" s="8" customFormat="1" ht="140.25">
      <c r="A28" s="276" t="s">
        <v>458</v>
      </c>
      <c r="B28" s="194">
        <v>12</v>
      </c>
      <c r="C28" s="194" t="s">
        <v>448</v>
      </c>
      <c r="D28" s="301" t="s">
        <v>277</v>
      </c>
      <c r="E28" s="304" t="s">
        <v>282</v>
      </c>
      <c r="F28" s="223" t="s">
        <v>472</v>
      </c>
      <c r="G28" s="194" t="s">
        <v>480</v>
      </c>
      <c r="H28" s="241">
        <v>1</v>
      </c>
      <c r="I28" s="166">
        <v>4175600</v>
      </c>
      <c r="J28" s="194">
        <v>10</v>
      </c>
      <c r="K28" s="166">
        <f t="shared" si="0"/>
        <v>41923024</v>
      </c>
      <c r="L28" s="51"/>
      <c r="M28" s="51"/>
      <c r="N28" s="51"/>
      <c r="O28" s="51"/>
      <c r="P28" s="51"/>
      <c r="Q28" s="51"/>
      <c r="R28" s="51"/>
      <c r="S28" s="51"/>
      <c r="T28" s="51"/>
      <c r="U28" s="217"/>
      <c r="V28" s="217"/>
      <c r="W28" s="303"/>
      <c r="X28" s="376" t="s">
        <v>448</v>
      </c>
      <c r="Y28" s="376"/>
      <c r="Z28" s="376"/>
      <c r="AA28" s="376"/>
    </row>
    <row r="29" spans="1:27" s="8" customFormat="1" ht="153">
      <c r="A29" s="276">
        <v>36</v>
      </c>
      <c r="B29" s="194" t="s">
        <v>442</v>
      </c>
      <c r="C29" s="194" t="s">
        <v>449</v>
      </c>
      <c r="D29" s="301" t="s">
        <v>265</v>
      </c>
      <c r="E29" s="282" t="s">
        <v>281</v>
      </c>
      <c r="F29" s="223" t="s">
        <v>265</v>
      </c>
      <c r="G29" s="194" t="s">
        <v>463</v>
      </c>
      <c r="H29" s="241">
        <v>1</v>
      </c>
      <c r="I29" s="166">
        <v>2252850</v>
      </c>
      <c r="J29" s="194">
        <v>9.5</v>
      </c>
      <c r="K29" s="166">
        <f t="shared" si="0"/>
        <v>21487683.3</v>
      </c>
      <c r="L29" s="51"/>
      <c r="M29" s="51"/>
      <c r="N29" s="51"/>
      <c r="O29" s="51"/>
      <c r="P29" s="51"/>
      <c r="Q29" s="51"/>
      <c r="R29" s="51"/>
      <c r="S29" s="51"/>
      <c r="T29" s="51"/>
      <c r="U29" s="217"/>
      <c r="V29" s="217"/>
      <c r="W29" s="303"/>
      <c r="X29" s="376" t="s">
        <v>514</v>
      </c>
      <c r="Y29" s="376"/>
      <c r="Z29" s="376"/>
      <c r="AA29" s="376"/>
    </row>
    <row r="30" spans="1:27" s="8" customFormat="1" ht="140.25">
      <c r="A30" s="276" t="s">
        <v>459</v>
      </c>
      <c r="B30" s="194">
        <v>0</v>
      </c>
      <c r="C30" s="194" t="s">
        <v>450</v>
      </c>
      <c r="D30" s="301" t="s">
        <v>279</v>
      </c>
      <c r="E30" s="304" t="s">
        <v>282</v>
      </c>
      <c r="F30" s="223" t="s">
        <v>474</v>
      </c>
      <c r="G30" s="194" t="s">
        <v>464</v>
      </c>
      <c r="H30" s="241">
        <v>1</v>
      </c>
      <c r="I30" s="166">
        <v>2735950</v>
      </c>
      <c r="J30" s="194">
        <v>10</v>
      </c>
      <c r="K30" s="166">
        <f t="shared" si="0"/>
        <v>27468938</v>
      </c>
      <c r="L30" s="51"/>
      <c r="M30" s="51"/>
      <c r="N30" s="51"/>
      <c r="O30" s="51"/>
      <c r="P30" s="51"/>
      <c r="Q30" s="51"/>
      <c r="R30" s="51"/>
      <c r="S30" s="51"/>
      <c r="T30" s="51"/>
      <c r="U30" s="217"/>
      <c r="V30" s="217"/>
      <c r="W30" s="303"/>
      <c r="X30" s="375">
        <f>K31+K32+K33+K37</f>
        <v>119201908</v>
      </c>
      <c r="Y30" s="376" t="s">
        <v>515</v>
      </c>
      <c r="Z30" s="376"/>
      <c r="AA30" s="376"/>
    </row>
    <row r="31" spans="1:27" s="8" customFormat="1" ht="140.25">
      <c r="A31" s="276" t="s">
        <v>458</v>
      </c>
      <c r="B31" s="194">
        <v>12</v>
      </c>
      <c r="C31" s="194" t="s">
        <v>451</v>
      </c>
      <c r="D31" s="301" t="s">
        <v>283</v>
      </c>
      <c r="E31" s="304" t="s">
        <v>282</v>
      </c>
      <c r="F31" s="223" t="s">
        <v>475</v>
      </c>
      <c r="G31" s="194" t="s">
        <v>284</v>
      </c>
      <c r="H31" s="241">
        <v>1</v>
      </c>
      <c r="I31" s="166">
        <v>4175600</v>
      </c>
      <c r="J31" s="194">
        <v>7.5</v>
      </c>
      <c r="K31" s="166">
        <f t="shared" si="0"/>
        <v>31442268</v>
      </c>
      <c r="L31" s="51"/>
      <c r="M31" s="51"/>
      <c r="N31" s="51"/>
      <c r="O31" s="51"/>
      <c r="P31" s="51"/>
      <c r="Q31" s="51"/>
      <c r="R31" s="51"/>
      <c r="S31" s="51"/>
      <c r="T31" s="51"/>
      <c r="U31" s="217"/>
      <c r="V31" s="217"/>
      <c r="W31" s="303"/>
      <c r="X31" s="376" t="s">
        <v>516</v>
      </c>
      <c r="Y31" s="376"/>
      <c r="Z31" s="376"/>
      <c r="AA31" s="377">
        <f>K31+K32+K33+K34+K37+K38+K39+K40</f>
        <v>227263557.5</v>
      </c>
    </row>
    <row r="32" spans="1:27" s="8" customFormat="1" ht="140.25">
      <c r="A32" s="276" t="s">
        <v>459</v>
      </c>
      <c r="B32" s="194">
        <v>0</v>
      </c>
      <c r="C32" s="166" t="s">
        <v>460</v>
      </c>
      <c r="D32" s="301" t="s">
        <v>462</v>
      </c>
      <c r="E32" s="304" t="s">
        <v>282</v>
      </c>
      <c r="F32" s="223" t="s">
        <v>476</v>
      </c>
      <c r="G32" s="194" t="s">
        <v>465</v>
      </c>
      <c r="H32" s="241">
        <v>1</v>
      </c>
      <c r="I32" s="166">
        <v>3413450</v>
      </c>
      <c r="J32" s="194">
        <v>10</v>
      </c>
      <c r="K32" s="166">
        <f t="shared" si="0"/>
        <v>34271038</v>
      </c>
      <c r="L32" s="51"/>
      <c r="M32" s="51"/>
      <c r="N32" s="51"/>
      <c r="O32" s="51"/>
      <c r="P32" s="51"/>
      <c r="Q32" s="51"/>
      <c r="R32" s="51"/>
      <c r="S32" s="51"/>
      <c r="T32" s="51"/>
      <c r="U32" s="217"/>
      <c r="V32" s="217"/>
      <c r="W32" s="303"/>
      <c r="X32" s="376" t="s">
        <v>518</v>
      </c>
      <c r="Y32" s="376"/>
      <c r="Z32" s="377">
        <f>K32+K33+K34+K37+K38+K39+K40</f>
        <v>195821289.5</v>
      </c>
      <c r="AA32" s="376"/>
    </row>
    <row r="33" spans="1:27" s="8" customFormat="1" ht="140.25">
      <c r="A33" s="276" t="s">
        <v>461</v>
      </c>
      <c r="B33" s="194">
        <v>0</v>
      </c>
      <c r="C33" s="166" t="s">
        <v>452</v>
      </c>
      <c r="D33" s="301" t="s">
        <v>466</v>
      </c>
      <c r="E33" s="304" t="s">
        <v>282</v>
      </c>
      <c r="F33" s="223" t="s">
        <v>476</v>
      </c>
      <c r="G33" s="194" t="s">
        <v>296</v>
      </c>
      <c r="H33" s="241">
        <v>1</v>
      </c>
      <c r="I33" s="166">
        <v>3455800</v>
      </c>
      <c r="J33" s="194">
        <v>10</v>
      </c>
      <c r="K33" s="166">
        <f t="shared" si="0"/>
        <v>34696232</v>
      </c>
      <c r="L33" s="51"/>
      <c r="M33" s="51"/>
      <c r="N33" s="51"/>
      <c r="O33" s="51"/>
      <c r="P33" s="51"/>
      <c r="Q33" s="51"/>
      <c r="R33" s="51"/>
      <c r="S33" s="51"/>
      <c r="T33" s="51"/>
      <c r="U33" s="217"/>
      <c r="V33" s="217"/>
      <c r="W33" s="303"/>
      <c r="X33" s="376" t="s">
        <v>517</v>
      </c>
      <c r="Y33" s="376"/>
      <c r="Z33" s="376"/>
      <c r="AA33" s="376"/>
    </row>
    <row r="34" spans="1:27" s="8" customFormat="1" ht="140.25">
      <c r="A34" s="276" t="s">
        <v>458</v>
      </c>
      <c r="B34" s="194">
        <v>12</v>
      </c>
      <c r="C34" s="166" t="s">
        <v>306</v>
      </c>
      <c r="D34" s="302" t="s">
        <v>301</v>
      </c>
      <c r="E34" s="304" t="s">
        <v>282</v>
      </c>
      <c r="F34" s="293" t="s">
        <v>477</v>
      </c>
      <c r="G34" s="194" t="s">
        <v>438</v>
      </c>
      <c r="H34" s="241">
        <v>1</v>
      </c>
      <c r="I34" s="206">
        <v>4175600</v>
      </c>
      <c r="J34" s="194">
        <v>10</v>
      </c>
      <c r="K34" s="166">
        <f t="shared" si="0"/>
        <v>41923024</v>
      </c>
      <c r="L34" s="51"/>
      <c r="M34" s="51"/>
      <c r="N34" s="51"/>
      <c r="O34" s="51"/>
      <c r="P34" s="51"/>
      <c r="Q34" s="51"/>
      <c r="R34" s="51"/>
      <c r="S34" s="51"/>
      <c r="T34" s="51"/>
      <c r="U34" s="217"/>
      <c r="V34" s="217"/>
      <c r="W34" s="303"/>
      <c r="X34" s="376" t="s">
        <v>519</v>
      </c>
      <c r="Y34" s="376"/>
      <c r="Z34" s="376"/>
      <c r="AA34" s="376"/>
    </row>
    <row r="35" spans="1:27" s="8" customFormat="1" ht="76.5">
      <c r="A35" s="276" t="s">
        <v>458</v>
      </c>
      <c r="B35" s="194">
        <v>12</v>
      </c>
      <c r="C35" s="166" t="s">
        <v>453</v>
      </c>
      <c r="D35" s="302" t="s">
        <v>303</v>
      </c>
      <c r="E35" s="304" t="s">
        <v>302</v>
      </c>
      <c r="F35" s="223" t="s">
        <v>478</v>
      </c>
      <c r="G35" s="194" t="s">
        <v>304</v>
      </c>
      <c r="H35" s="241">
        <v>1</v>
      </c>
      <c r="I35" s="206">
        <v>4175600</v>
      </c>
      <c r="J35" s="194">
        <v>10</v>
      </c>
      <c r="K35" s="166">
        <f t="shared" si="0"/>
        <v>41923024</v>
      </c>
      <c r="L35" s="51"/>
      <c r="M35" s="51"/>
      <c r="N35" s="51"/>
      <c r="O35" s="51"/>
      <c r="P35" s="51"/>
      <c r="Q35" s="51"/>
      <c r="R35" s="51"/>
      <c r="S35" s="51"/>
      <c r="T35" s="51"/>
      <c r="U35" s="217"/>
      <c r="V35" s="217"/>
      <c r="W35" s="303"/>
      <c r="X35" s="376" t="s">
        <v>453</v>
      </c>
      <c r="Y35" s="376"/>
      <c r="Z35" s="376"/>
      <c r="AA35" s="376"/>
    </row>
    <row r="36" spans="1:27" s="347" customFormat="1" ht="76.5" hidden="1">
      <c r="A36" s="337" t="s">
        <v>459</v>
      </c>
      <c r="B36" s="338">
        <v>0</v>
      </c>
      <c r="C36" s="339" t="s">
        <v>454</v>
      </c>
      <c r="D36" s="340" t="s">
        <v>303</v>
      </c>
      <c r="E36" s="341" t="s">
        <v>302</v>
      </c>
      <c r="F36" s="342" t="s">
        <v>478</v>
      </c>
      <c r="G36" s="338" t="s">
        <v>467</v>
      </c>
      <c r="H36" s="343">
        <v>1</v>
      </c>
      <c r="I36" s="339">
        <v>2735950</v>
      </c>
      <c r="J36" s="338">
        <v>0</v>
      </c>
      <c r="K36" s="339">
        <f t="shared" si="0"/>
        <v>0</v>
      </c>
      <c r="L36" s="344"/>
      <c r="M36" s="344"/>
      <c r="N36" s="344"/>
      <c r="O36" s="344"/>
      <c r="P36" s="344"/>
      <c r="Q36" s="344"/>
      <c r="R36" s="344"/>
      <c r="S36" s="344"/>
      <c r="T36" s="344"/>
      <c r="U36" s="345"/>
      <c r="V36" s="345"/>
      <c r="W36" s="346"/>
      <c r="X36" s="378"/>
      <c r="Y36" s="378"/>
      <c r="Z36" s="378"/>
      <c r="AA36" s="378"/>
    </row>
    <row r="37" spans="1:27" s="8" customFormat="1" ht="168.75" customHeight="1">
      <c r="A37" s="276" t="s">
        <v>461</v>
      </c>
      <c r="B37" s="194">
        <v>0</v>
      </c>
      <c r="C37" s="166" t="s">
        <v>455</v>
      </c>
      <c r="D37" s="302" t="s">
        <v>310</v>
      </c>
      <c r="E37" s="304" t="s">
        <v>309</v>
      </c>
      <c r="F37" s="288" t="s">
        <v>479</v>
      </c>
      <c r="G37" s="194" t="s">
        <v>311</v>
      </c>
      <c r="H37" s="241">
        <v>1</v>
      </c>
      <c r="I37" s="206">
        <v>1871750</v>
      </c>
      <c r="J37" s="294">
        <v>10</v>
      </c>
      <c r="K37" s="166">
        <f t="shared" si="0"/>
        <v>18792370</v>
      </c>
      <c r="L37" s="51"/>
      <c r="M37" s="51"/>
      <c r="N37" s="51"/>
      <c r="O37" s="51"/>
      <c r="P37" s="51"/>
      <c r="Q37" s="51"/>
      <c r="R37" s="51"/>
      <c r="S37" s="51"/>
      <c r="T37" s="51"/>
      <c r="U37" s="217"/>
      <c r="V37" s="217"/>
      <c r="W37" s="303"/>
      <c r="X37" s="376" t="s">
        <v>521</v>
      </c>
      <c r="Y37" s="376"/>
      <c r="Z37" s="376"/>
      <c r="AA37" s="376"/>
    </row>
    <row r="38" spans="1:27" s="8" customFormat="1" ht="168.75" customHeight="1">
      <c r="A38" s="348"/>
      <c r="B38" s="349"/>
      <c r="C38" s="350"/>
      <c r="D38" s="351"/>
      <c r="E38" s="353" t="s">
        <v>282</v>
      </c>
      <c r="F38" s="223" t="s">
        <v>476</v>
      </c>
      <c r="G38" s="194" t="s">
        <v>296</v>
      </c>
      <c r="H38" s="241">
        <v>1</v>
      </c>
      <c r="I38" s="166">
        <v>3455800</v>
      </c>
      <c r="J38" s="194">
        <v>7.5</v>
      </c>
      <c r="K38" s="166">
        <f>(I38*J38)*1.004</f>
        <v>26022174</v>
      </c>
      <c r="L38" s="243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352"/>
      <c r="X38" s="376" t="s">
        <v>522</v>
      </c>
      <c r="Y38" s="376"/>
      <c r="Z38" s="376"/>
      <c r="AA38" s="376"/>
    </row>
    <row r="39" spans="1:27" s="8" customFormat="1" ht="168.75" customHeight="1">
      <c r="A39" s="348"/>
      <c r="B39" s="349"/>
      <c r="C39" s="350"/>
      <c r="D39" s="351"/>
      <c r="E39" s="353" t="s">
        <v>282</v>
      </c>
      <c r="F39" s="223" t="s">
        <v>499</v>
      </c>
      <c r="G39" s="194" t="s">
        <v>500</v>
      </c>
      <c r="H39" s="241">
        <v>1</v>
      </c>
      <c r="I39" s="166">
        <v>3455800</v>
      </c>
      <c r="J39" s="194">
        <v>7.5</v>
      </c>
      <c r="K39" s="166">
        <f>(I39*J39)*1.004</f>
        <v>26022174</v>
      </c>
      <c r="L39" s="243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352"/>
      <c r="X39" s="376" t="s">
        <v>520</v>
      </c>
      <c r="Y39" s="376"/>
      <c r="Z39" s="376"/>
      <c r="AA39" s="376"/>
    </row>
    <row r="40" spans="1:27" s="8" customFormat="1" ht="168.75" customHeight="1">
      <c r="A40" s="348"/>
      <c r="B40" s="349"/>
      <c r="C40" s="350"/>
      <c r="D40" s="351"/>
      <c r="E40" s="353" t="s">
        <v>309</v>
      </c>
      <c r="F40" s="288" t="s">
        <v>479</v>
      </c>
      <c r="G40" s="194" t="s">
        <v>311</v>
      </c>
      <c r="H40" s="241">
        <v>1</v>
      </c>
      <c r="I40" s="206">
        <v>1871750</v>
      </c>
      <c r="J40" s="333">
        <v>7.5</v>
      </c>
      <c r="K40" s="166">
        <f>(I40*J40)*1.004</f>
        <v>14094277.5</v>
      </c>
      <c r="L40" s="243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352"/>
      <c r="X40" s="376" t="s">
        <v>523</v>
      </c>
      <c r="Y40" s="376"/>
      <c r="Z40" s="376"/>
      <c r="AA40" s="376"/>
    </row>
    <row r="41" spans="5:34" ht="13.5" thickBot="1">
      <c r="E41" s="556" t="s">
        <v>29</v>
      </c>
      <c r="F41" s="557"/>
      <c r="G41" s="557"/>
      <c r="H41" s="557"/>
      <c r="I41" s="557"/>
      <c r="J41" s="558"/>
      <c r="K41" s="56">
        <f>SUM(K22:K40)</f>
        <v>548605228.2</v>
      </c>
      <c r="L41" s="593"/>
      <c r="M41" s="594"/>
      <c r="N41" s="594"/>
      <c r="O41" s="594"/>
      <c r="P41" s="594"/>
      <c r="Q41" s="594"/>
      <c r="R41" s="594"/>
      <c r="S41" s="594"/>
      <c r="T41" s="594"/>
      <c r="U41" s="594"/>
      <c r="V41" s="594"/>
      <c r="W41" s="595"/>
      <c r="X41" s="372"/>
      <c r="Y41" s="372"/>
      <c r="Z41" s="372"/>
      <c r="AA41" s="372"/>
      <c r="AH41" s="169"/>
    </row>
    <row r="42" spans="1:34" s="4" customFormat="1" ht="18" customHeight="1" thickBot="1">
      <c r="A42" s="280"/>
      <c r="E42" s="609" t="s">
        <v>30</v>
      </c>
      <c r="F42" s="610"/>
      <c r="G42" s="610"/>
      <c r="H42" s="610"/>
      <c r="I42" s="610"/>
      <c r="J42" s="610"/>
      <c r="K42" s="610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8"/>
      <c r="X42" s="379"/>
      <c r="Y42" s="379"/>
      <c r="Z42" s="379"/>
      <c r="AA42" s="379"/>
      <c r="AH42" s="170"/>
    </row>
    <row r="43" spans="1:34" s="9" customFormat="1" ht="16.5" customHeight="1">
      <c r="A43" s="280"/>
      <c r="B43" s="4"/>
      <c r="C43" s="4"/>
      <c r="D43" s="4"/>
      <c r="E43" s="647" t="s">
        <v>31</v>
      </c>
      <c r="F43" s="648"/>
      <c r="G43" s="649"/>
      <c r="H43" s="559" t="s">
        <v>32</v>
      </c>
      <c r="I43" s="607" t="s">
        <v>17</v>
      </c>
      <c r="J43" s="561" t="s">
        <v>33</v>
      </c>
      <c r="K43" s="559" t="s">
        <v>20</v>
      </c>
      <c r="L43" s="599" t="s">
        <v>21</v>
      </c>
      <c r="M43" s="600"/>
      <c r="N43" s="600"/>
      <c r="O43" s="600"/>
      <c r="P43" s="600"/>
      <c r="Q43" s="600"/>
      <c r="R43" s="600"/>
      <c r="S43" s="600"/>
      <c r="T43" s="600"/>
      <c r="U43" s="600"/>
      <c r="V43" s="600"/>
      <c r="W43" s="601"/>
      <c r="X43" s="380"/>
      <c r="Y43" s="380"/>
      <c r="Z43" s="380"/>
      <c r="AA43" s="380"/>
      <c r="AH43" s="171"/>
    </row>
    <row r="44" spans="1:27" s="7" customFormat="1" ht="14.25" customHeight="1">
      <c r="A44" s="279"/>
      <c r="E44" s="650"/>
      <c r="F44" s="651"/>
      <c r="G44" s="652"/>
      <c r="H44" s="560"/>
      <c r="I44" s="608"/>
      <c r="J44" s="562"/>
      <c r="K44" s="560"/>
      <c r="L44" s="51" t="s">
        <v>22</v>
      </c>
      <c r="M44" s="51" t="s">
        <v>58</v>
      </c>
      <c r="N44" s="51" t="s">
        <v>23</v>
      </c>
      <c r="O44" s="51" t="s">
        <v>24</v>
      </c>
      <c r="P44" s="51" t="s">
        <v>25</v>
      </c>
      <c r="Q44" s="51" t="s">
        <v>26</v>
      </c>
      <c r="R44" s="51" t="s">
        <v>27</v>
      </c>
      <c r="S44" s="51" t="s">
        <v>28</v>
      </c>
      <c r="T44" s="51" t="s">
        <v>54</v>
      </c>
      <c r="U44" s="51" t="s">
        <v>55</v>
      </c>
      <c r="V44" s="51" t="s">
        <v>56</v>
      </c>
      <c r="W44" s="52" t="s">
        <v>57</v>
      </c>
      <c r="X44" s="381"/>
      <c r="Y44" s="381"/>
      <c r="Z44" s="381"/>
      <c r="AA44" s="381"/>
    </row>
    <row r="45" spans="1:27" s="8" customFormat="1" ht="12.75" customHeight="1">
      <c r="A45" s="281"/>
      <c r="E45" s="624" t="s">
        <v>314</v>
      </c>
      <c r="F45" s="625"/>
      <c r="G45" s="626"/>
      <c r="H45" s="166"/>
      <c r="I45" s="190">
        <v>1</v>
      </c>
      <c r="J45" s="191"/>
      <c r="K45" s="192">
        <v>9706313</v>
      </c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2"/>
      <c r="X45" s="376"/>
      <c r="Y45" s="376"/>
      <c r="Z45" s="376"/>
      <c r="AA45" s="376"/>
    </row>
    <row r="46" spans="1:27" s="8" customFormat="1" ht="12.75" customHeight="1">
      <c r="A46" s="281"/>
      <c r="E46" s="653" t="s">
        <v>525</v>
      </c>
      <c r="F46" s="654"/>
      <c r="G46" s="655"/>
      <c r="H46" s="220"/>
      <c r="I46" s="255">
        <v>1</v>
      </c>
      <c r="J46" s="256">
        <v>143553296</v>
      </c>
      <c r="K46" s="257">
        <v>144127509</v>
      </c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2"/>
      <c r="X46" s="376"/>
      <c r="Y46" s="376"/>
      <c r="Z46" s="376"/>
      <c r="AA46" s="376"/>
    </row>
    <row r="47" spans="1:27" s="8" customFormat="1" ht="12.75" customHeight="1">
      <c r="A47" s="281"/>
      <c r="E47" s="334" t="s">
        <v>315</v>
      </c>
      <c r="F47" s="335"/>
      <c r="G47" s="336"/>
      <c r="H47" s="334"/>
      <c r="I47" s="335">
        <v>1</v>
      </c>
      <c r="J47" s="336">
        <f>K47/1.004</f>
        <v>77396665.33864541</v>
      </c>
      <c r="K47" s="334">
        <v>77706252</v>
      </c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2"/>
      <c r="X47" s="376"/>
      <c r="Y47" s="376"/>
      <c r="Z47" s="376"/>
      <c r="AA47" s="376"/>
    </row>
    <row r="48" spans="1:27" s="8" customFormat="1" ht="12.75" customHeight="1">
      <c r="A48" s="281"/>
      <c r="E48" s="334" t="s">
        <v>316</v>
      </c>
      <c r="F48" s="335"/>
      <c r="G48" s="336"/>
      <c r="H48" s="334"/>
      <c r="I48" s="335">
        <v>1</v>
      </c>
      <c r="J48" s="336">
        <f>K48/1.004</f>
        <v>224386622.50996014</v>
      </c>
      <c r="K48" s="334">
        <v>225284169</v>
      </c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2"/>
      <c r="X48" s="376"/>
      <c r="Y48" s="376"/>
      <c r="Z48" s="376"/>
      <c r="AA48" s="376"/>
    </row>
    <row r="49" spans="5:34" ht="12.75" customHeight="1" thickBot="1">
      <c r="E49" s="556" t="s">
        <v>29</v>
      </c>
      <c r="F49" s="557"/>
      <c r="G49" s="557"/>
      <c r="H49" s="557"/>
      <c r="I49" s="557"/>
      <c r="J49" s="558"/>
      <c r="K49" s="56">
        <f>SUM(K45:K48)</f>
        <v>456824243</v>
      </c>
      <c r="L49" s="59"/>
      <c r="M49" s="60"/>
      <c r="N49" s="60"/>
      <c r="O49" s="60"/>
      <c r="P49" s="60"/>
      <c r="Q49" s="60"/>
      <c r="R49" s="61"/>
      <c r="S49" s="62"/>
      <c r="T49" s="62"/>
      <c r="U49" s="62"/>
      <c r="V49" s="62"/>
      <c r="W49" s="63"/>
      <c r="X49" s="372"/>
      <c r="Y49" s="375">
        <f>K22+K23+K24+K25+K47+K87+K89</f>
        <v>373977286.4</v>
      </c>
      <c r="Z49" s="375">
        <v>351693509.12</v>
      </c>
      <c r="AA49" s="372"/>
      <c r="AH49" s="169"/>
    </row>
    <row r="50" spans="1:34" s="4" customFormat="1" ht="18.75" customHeight="1" thickBot="1">
      <c r="A50" s="280"/>
      <c r="E50" s="668" t="s">
        <v>34</v>
      </c>
      <c r="F50" s="669"/>
      <c r="G50" s="669"/>
      <c r="H50" s="669"/>
      <c r="I50" s="669"/>
      <c r="J50" s="669"/>
      <c r="K50" s="669"/>
      <c r="L50" s="593"/>
      <c r="M50" s="594"/>
      <c r="N50" s="594"/>
      <c r="O50" s="594"/>
      <c r="P50" s="594"/>
      <c r="Q50" s="594"/>
      <c r="R50" s="594"/>
      <c r="S50" s="57"/>
      <c r="T50" s="57"/>
      <c r="U50" s="57"/>
      <c r="V50" s="57"/>
      <c r="W50" s="58"/>
      <c r="X50" s="379"/>
      <c r="Y50" s="375">
        <f>K28+K29+K30+K27+K48+K90+K91+K92+K93+K94+K26</f>
        <v>483474230.3</v>
      </c>
      <c r="Z50" s="375">
        <v>491102481.12</v>
      </c>
      <c r="AA50" s="379"/>
      <c r="AH50" s="170"/>
    </row>
    <row r="51" spans="1:34" s="4" customFormat="1" ht="12.75">
      <c r="A51" s="280"/>
      <c r="E51" s="283"/>
      <c r="F51" s="289"/>
      <c r="G51" s="65"/>
      <c r="H51" s="66"/>
      <c r="I51" s="67"/>
      <c r="J51" s="68"/>
      <c r="K51" s="67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70"/>
      <c r="X51" s="379"/>
      <c r="Y51" s="375">
        <f>K31+K32+K33+K34+K37+K38+K39+K40+K95+K96+K97+K98+K46</f>
        <v>456279665.5</v>
      </c>
      <c r="Z51" s="382">
        <v>532402631</v>
      </c>
      <c r="AA51" s="382">
        <f>Z51-Y51</f>
        <v>76122965.5</v>
      </c>
      <c r="AH51" s="170"/>
    </row>
    <row r="52" spans="1:27" s="7" customFormat="1" ht="15.75" customHeight="1">
      <c r="A52" s="279"/>
      <c r="E52" s="647" t="s">
        <v>31</v>
      </c>
      <c r="F52" s="648"/>
      <c r="G52" s="649"/>
      <c r="H52" s="559" t="s">
        <v>32</v>
      </c>
      <c r="I52" s="607" t="s">
        <v>17</v>
      </c>
      <c r="J52" s="561"/>
      <c r="K52" s="559" t="s">
        <v>20</v>
      </c>
      <c r="L52" s="599" t="s">
        <v>21</v>
      </c>
      <c r="M52" s="600"/>
      <c r="N52" s="600"/>
      <c r="O52" s="600"/>
      <c r="P52" s="600"/>
      <c r="Q52" s="600"/>
      <c r="R52" s="600"/>
      <c r="S52" s="600"/>
      <c r="T52" s="600"/>
      <c r="U52" s="600"/>
      <c r="V52" s="600"/>
      <c r="W52" s="601"/>
      <c r="X52" s="381"/>
      <c r="Y52" s="375">
        <f>K86</f>
        <v>460815830</v>
      </c>
      <c r="Z52" s="375">
        <v>423815830</v>
      </c>
      <c r="AA52" s="381"/>
    </row>
    <row r="53" spans="1:27" s="8" customFormat="1" ht="13.5" customHeight="1">
      <c r="A53" s="281"/>
      <c r="E53" s="650"/>
      <c r="F53" s="651"/>
      <c r="G53" s="652"/>
      <c r="H53" s="560"/>
      <c r="I53" s="608"/>
      <c r="J53" s="562"/>
      <c r="K53" s="560"/>
      <c r="L53" s="51" t="s">
        <v>22</v>
      </c>
      <c r="M53" s="51" t="s">
        <v>58</v>
      </c>
      <c r="N53" s="51" t="s">
        <v>23</v>
      </c>
      <c r="O53" s="51" t="s">
        <v>24</v>
      </c>
      <c r="P53" s="51" t="s">
        <v>25</v>
      </c>
      <c r="Q53" s="51" t="s">
        <v>26</v>
      </c>
      <c r="R53" s="51" t="s">
        <v>27</v>
      </c>
      <c r="S53" s="51" t="s">
        <v>28</v>
      </c>
      <c r="T53" s="51" t="s">
        <v>54</v>
      </c>
      <c r="U53" s="51" t="s">
        <v>55</v>
      </c>
      <c r="V53" s="51" t="s">
        <v>56</v>
      </c>
      <c r="W53" s="52" t="s">
        <v>57</v>
      </c>
      <c r="X53" s="376"/>
      <c r="Y53" s="375">
        <v>41923024</v>
      </c>
      <c r="Z53" s="375">
        <v>41923024</v>
      </c>
      <c r="AA53" s="376"/>
    </row>
    <row r="54" spans="5:27" ht="12.75">
      <c r="E54" s="548"/>
      <c r="F54" s="548"/>
      <c r="G54" s="549"/>
      <c r="H54" s="53"/>
      <c r="I54" s="47"/>
      <c r="J54" s="46"/>
      <c r="K54" s="47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5"/>
      <c r="X54" s="372"/>
      <c r="Y54" s="375">
        <f>K78</f>
        <v>424473392</v>
      </c>
      <c r="Z54" s="375">
        <v>409712265</v>
      </c>
      <c r="AA54" s="375"/>
    </row>
    <row r="55" spans="5:27" ht="12.75">
      <c r="E55" s="548"/>
      <c r="F55" s="548"/>
      <c r="G55" s="549"/>
      <c r="H55" s="53"/>
      <c r="I55" s="47"/>
      <c r="J55" s="46"/>
      <c r="K55" s="47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5"/>
      <c r="X55" s="372"/>
      <c r="Y55" s="375">
        <f>K88</f>
        <v>10040000</v>
      </c>
      <c r="Z55" s="375">
        <v>10040000</v>
      </c>
      <c r="AA55" s="372"/>
    </row>
    <row r="56" spans="5:27" ht="12.75">
      <c r="E56" s="548"/>
      <c r="F56" s="548"/>
      <c r="G56" s="549"/>
      <c r="H56" s="53"/>
      <c r="I56" s="47"/>
      <c r="J56" s="46"/>
      <c r="K56" s="47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5"/>
      <c r="X56" s="372"/>
      <c r="Y56" s="375">
        <f>SUM(Y49:Y55)</f>
        <v>2250983428.2</v>
      </c>
      <c r="Z56" s="375">
        <f>SUM(Z49:Z55)</f>
        <v>2260689740.24</v>
      </c>
      <c r="AA56" s="372"/>
    </row>
    <row r="57" spans="5:27" ht="12.75">
      <c r="E57" s="548"/>
      <c r="F57" s="548"/>
      <c r="G57" s="549"/>
      <c r="H57" s="53"/>
      <c r="I57" s="47"/>
      <c r="J57" s="46"/>
      <c r="K57" s="47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5"/>
      <c r="X57" s="372"/>
      <c r="Y57" s="375"/>
      <c r="Z57" s="372"/>
      <c r="AA57" s="372"/>
    </row>
    <row r="58" spans="5:27" ht="13.5" thickBot="1">
      <c r="E58" s="556" t="s">
        <v>29</v>
      </c>
      <c r="F58" s="557"/>
      <c r="G58" s="557"/>
      <c r="H58" s="557"/>
      <c r="I58" s="557"/>
      <c r="J58" s="558"/>
      <c r="K58" s="71">
        <f>SUM(K54:K57)</f>
        <v>0</v>
      </c>
      <c r="L58" s="582"/>
      <c r="M58" s="583"/>
      <c r="N58" s="583"/>
      <c r="O58" s="583"/>
      <c r="P58" s="583"/>
      <c r="Q58" s="583"/>
      <c r="R58" s="583"/>
      <c r="S58" s="583"/>
      <c r="T58" s="583"/>
      <c r="U58" s="583"/>
      <c r="V58" s="583"/>
      <c r="W58" s="664"/>
      <c r="X58" s="372"/>
      <c r="Y58" s="375"/>
      <c r="Z58" s="372"/>
      <c r="AA58" s="372"/>
    </row>
    <row r="59" spans="5:27" ht="21" customHeight="1" thickBot="1">
      <c r="E59" s="274" t="s">
        <v>37</v>
      </c>
      <c r="F59" s="275"/>
      <c r="G59" s="73"/>
      <c r="H59" s="74"/>
      <c r="I59" s="75"/>
      <c r="J59" s="76"/>
      <c r="K59" s="75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8"/>
      <c r="X59" s="372"/>
      <c r="Y59" s="372"/>
      <c r="Z59" s="372"/>
      <c r="AA59" s="372"/>
    </row>
    <row r="60" spans="1:27" s="7" customFormat="1" ht="16.5" customHeight="1">
      <c r="A60" s="279"/>
      <c r="E60" s="550" t="s">
        <v>15</v>
      </c>
      <c r="F60" s="551"/>
      <c r="G60" s="552"/>
      <c r="H60" s="573" t="s">
        <v>35</v>
      </c>
      <c r="I60" s="574" t="s">
        <v>17</v>
      </c>
      <c r="J60" s="561" t="s">
        <v>33</v>
      </c>
      <c r="K60" s="559" t="s">
        <v>20</v>
      </c>
      <c r="L60" s="578" t="s">
        <v>21</v>
      </c>
      <c r="M60" s="579"/>
      <c r="N60" s="579"/>
      <c r="O60" s="579"/>
      <c r="P60" s="579"/>
      <c r="Q60" s="579"/>
      <c r="R60" s="579"/>
      <c r="S60" s="579"/>
      <c r="T60" s="579"/>
      <c r="U60" s="579"/>
      <c r="V60" s="579"/>
      <c r="W60" s="580"/>
      <c r="X60" s="381"/>
      <c r="Y60" s="381"/>
      <c r="Z60" s="381"/>
      <c r="AA60" s="381"/>
    </row>
    <row r="61" spans="1:27" s="8" customFormat="1" ht="13.5" customHeight="1">
      <c r="A61" s="281"/>
      <c r="E61" s="553"/>
      <c r="F61" s="554"/>
      <c r="G61" s="555"/>
      <c r="H61" s="573"/>
      <c r="I61" s="562"/>
      <c r="J61" s="562"/>
      <c r="K61" s="560"/>
      <c r="L61" s="51" t="s">
        <v>22</v>
      </c>
      <c r="M61" s="51" t="s">
        <v>58</v>
      </c>
      <c r="N61" s="51" t="s">
        <v>23</v>
      </c>
      <c r="O61" s="51" t="s">
        <v>24</v>
      </c>
      <c r="P61" s="51" t="s">
        <v>25</v>
      </c>
      <c r="Q61" s="51" t="s">
        <v>26</v>
      </c>
      <c r="R61" s="51" t="s">
        <v>27</v>
      </c>
      <c r="S61" s="51" t="s">
        <v>28</v>
      </c>
      <c r="T61" s="51" t="s">
        <v>54</v>
      </c>
      <c r="U61" s="51" t="s">
        <v>55</v>
      </c>
      <c r="V61" s="51" t="s">
        <v>56</v>
      </c>
      <c r="W61" s="52" t="s">
        <v>57</v>
      </c>
      <c r="X61" s="376"/>
      <c r="Y61" s="376"/>
      <c r="Z61" s="376"/>
      <c r="AA61" s="376"/>
    </row>
    <row r="62" spans="5:27" ht="12.75">
      <c r="E62" s="553"/>
      <c r="F62" s="554"/>
      <c r="G62" s="555"/>
      <c r="H62" s="53"/>
      <c r="I62" s="47"/>
      <c r="J62" s="46"/>
      <c r="K62" s="47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5"/>
      <c r="X62" s="372"/>
      <c r="Y62" s="372"/>
      <c r="Z62" s="372"/>
      <c r="AA62" s="372"/>
    </row>
    <row r="63" spans="5:27" ht="12.75">
      <c r="E63" s="611"/>
      <c r="F63" s="612"/>
      <c r="G63" s="613"/>
      <c r="H63" s="53"/>
      <c r="I63" s="47"/>
      <c r="J63" s="46"/>
      <c r="K63" s="47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5"/>
      <c r="X63" s="372"/>
      <c r="Y63" s="372"/>
      <c r="Z63" s="372"/>
      <c r="AA63" s="372"/>
    </row>
    <row r="64" spans="5:27" ht="12.75">
      <c r="E64" s="611"/>
      <c r="F64" s="612"/>
      <c r="G64" s="613"/>
      <c r="H64" s="53"/>
      <c r="I64" s="47"/>
      <c r="J64" s="46"/>
      <c r="K64" s="47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5"/>
      <c r="X64" s="372"/>
      <c r="Y64" s="372"/>
      <c r="Z64" s="372"/>
      <c r="AA64" s="372"/>
    </row>
    <row r="65" spans="5:27" ht="12.75">
      <c r="E65" s="284"/>
      <c r="F65" s="290"/>
      <c r="G65" s="78"/>
      <c r="H65" s="53"/>
      <c r="I65" s="47"/>
      <c r="J65" s="46"/>
      <c r="K65" s="47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5"/>
      <c r="X65" s="372"/>
      <c r="Y65" s="372"/>
      <c r="Z65" s="372"/>
      <c r="AA65" s="372"/>
    </row>
    <row r="66" spans="5:27" ht="13.5" thickBot="1">
      <c r="E66" s="556" t="s">
        <v>29</v>
      </c>
      <c r="F66" s="557"/>
      <c r="G66" s="557"/>
      <c r="H66" s="557"/>
      <c r="I66" s="557"/>
      <c r="J66" s="558"/>
      <c r="K66" s="71">
        <f>SUM(K62:K65)</f>
        <v>0</v>
      </c>
      <c r="L66" s="593"/>
      <c r="M66" s="594"/>
      <c r="N66" s="594"/>
      <c r="O66" s="594"/>
      <c r="P66" s="594"/>
      <c r="Q66" s="594"/>
      <c r="R66" s="594"/>
      <c r="S66" s="594"/>
      <c r="T66" s="594"/>
      <c r="U66" s="594"/>
      <c r="V66" s="594"/>
      <c r="W66" s="595"/>
      <c r="X66" s="372"/>
      <c r="Y66" s="372"/>
      <c r="Z66" s="372"/>
      <c r="AA66" s="372"/>
    </row>
    <row r="67" spans="5:27" ht="21.75" customHeight="1" thickBot="1">
      <c r="E67" s="274" t="s">
        <v>38</v>
      </c>
      <c r="F67" s="275"/>
      <c r="G67" s="73"/>
      <c r="H67" s="74"/>
      <c r="I67" s="75"/>
      <c r="J67" s="76"/>
      <c r="K67" s="75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8"/>
      <c r="X67" s="372"/>
      <c r="Y67" s="372"/>
      <c r="Z67" s="372"/>
      <c r="AA67" s="372"/>
    </row>
    <row r="68" spans="1:27" s="7" customFormat="1" ht="12.75" customHeight="1">
      <c r="A68" s="279"/>
      <c r="E68" s="550" t="s">
        <v>15</v>
      </c>
      <c r="F68" s="552"/>
      <c r="G68" s="573" t="s">
        <v>39</v>
      </c>
      <c r="H68" s="602" t="s">
        <v>40</v>
      </c>
      <c r="I68" s="572" t="s">
        <v>41</v>
      </c>
      <c r="J68" s="573" t="s">
        <v>42</v>
      </c>
      <c r="K68" s="559" t="s">
        <v>20</v>
      </c>
      <c r="L68" s="578" t="s">
        <v>21</v>
      </c>
      <c r="M68" s="579"/>
      <c r="N68" s="579"/>
      <c r="O68" s="579"/>
      <c r="P68" s="579"/>
      <c r="Q68" s="579"/>
      <c r="R68" s="579"/>
      <c r="S68" s="579"/>
      <c r="T68" s="579"/>
      <c r="U68" s="579"/>
      <c r="V68" s="579"/>
      <c r="W68" s="580"/>
      <c r="X68" s="381"/>
      <c r="Y68" s="381"/>
      <c r="Z68" s="381"/>
      <c r="AA68" s="381"/>
    </row>
    <row r="69" spans="1:27" s="8" customFormat="1" ht="13.5" customHeight="1">
      <c r="A69" s="281"/>
      <c r="E69" s="553"/>
      <c r="F69" s="555"/>
      <c r="G69" s="573"/>
      <c r="H69" s="603"/>
      <c r="I69" s="572"/>
      <c r="J69" s="573"/>
      <c r="K69" s="560"/>
      <c r="L69" s="51" t="s">
        <v>22</v>
      </c>
      <c r="M69" s="51" t="s">
        <v>58</v>
      </c>
      <c r="N69" s="51" t="s">
        <v>23</v>
      </c>
      <c r="O69" s="51" t="s">
        <v>24</v>
      </c>
      <c r="P69" s="51" t="s">
        <v>25</v>
      </c>
      <c r="Q69" s="51" t="s">
        <v>26</v>
      </c>
      <c r="R69" s="51" t="s">
        <v>27</v>
      </c>
      <c r="S69" s="51" t="s">
        <v>28</v>
      </c>
      <c r="T69" s="51" t="s">
        <v>54</v>
      </c>
      <c r="U69" s="51" t="s">
        <v>55</v>
      </c>
      <c r="V69" s="51" t="s">
        <v>56</v>
      </c>
      <c r="W69" s="52" t="s">
        <v>57</v>
      </c>
      <c r="X69" s="376"/>
      <c r="Y69" s="376"/>
      <c r="Z69" s="376"/>
      <c r="AA69" s="376"/>
    </row>
    <row r="70" spans="5:27" ht="12.75">
      <c r="E70" s="547"/>
      <c r="F70" s="549"/>
      <c r="G70" s="46"/>
      <c r="H70" s="53"/>
      <c r="I70" s="47"/>
      <c r="J70" s="46"/>
      <c r="K70" s="47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5"/>
      <c r="X70" s="372"/>
      <c r="Y70" s="372"/>
      <c r="Z70" s="372"/>
      <c r="AA70" s="372"/>
    </row>
    <row r="71" spans="5:27" ht="12.75">
      <c r="E71" s="547"/>
      <c r="F71" s="549"/>
      <c r="G71" s="46"/>
      <c r="H71" s="53"/>
      <c r="I71" s="47"/>
      <c r="J71" s="46"/>
      <c r="K71" s="47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5"/>
      <c r="X71" s="372"/>
      <c r="Y71" s="372"/>
      <c r="Z71" s="372"/>
      <c r="AA71" s="372"/>
    </row>
    <row r="72" spans="5:27" ht="12.75">
      <c r="E72" s="547"/>
      <c r="F72" s="549"/>
      <c r="G72" s="46"/>
      <c r="H72" s="53"/>
      <c r="I72" s="47"/>
      <c r="J72" s="46"/>
      <c r="K72" s="47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5"/>
      <c r="X72" s="372"/>
      <c r="Y72" s="372"/>
      <c r="Z72" s="372"/>
      <c r="AA72" s="372"/>
    </row>
    <row r="73" spans="5:27" ht="12.75">
      <c r="E73" s="547"/>
      <c r="F73" s="549"/>
      <c r="G73" s="46"/>
      <c r="H73" s="53"/>
      <c r="I73" s="47"/>
      <c r="J73" s="46"/>
      <c r="K73" s="47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5"/>
      <c r="X73" s="372"/>
      <c r="Y73" s="372"/>
      <c r="Z73" s="372"/>
      <c r="AA73" s="372"/>
    </row>
    <row r="74" spans="5:27" ht="13.5" thickBot="1">
      <c r="E74" s="556" t="s">
        <v>29</v>
      </c>
      <c r="F74" s="557"/>
      <c r="G74" s="557"/>
      <c r="H74" s="557"/>
      <c r="I74" s="557"/>
      <c r="J74" s="558"/>
      <c r="K74" s="79">
        <f>SUM(K70:K73)</f>
        <v>0</v>
      </c>
      <c r="L74" s="593"/>
      <c r="M74" s="594"/>
      <c r="N74" s="594"/>
      <c r="O74" s="594"/>
      <c r="P74" s="594"/>
      <c r="Q74" s="594"/>
      <c r="R74" s="594"/>
      <c r="S74" s="594"/>
      <c r="T74" s="594"/>
      <c r="U74" s="594"/>
      <c r="V74" s="594"/>
      <c r="W74" s="595"/>
      <c r="X74" s="372"/>
      <c r="Y74" s="372"/>
      <c r="Z74" s="372"/>
      <c r="AA74" s="372"/>
    </row>
    <row r="75" spans="5:27" ht="22.5" customHeight="1" thickBot="1">
      <c r="E75" s="274" t="s">
        <v>43</v>
      </c>
      <c r="F75" s="275"/>
      <c r="G75" s="73"/>
      <c r="H75" s="74"/>
      <c r="I75" s="75"/>
      <c r="J75" s="76"/>
      <c r="K75" s="75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8"/>
      <c r="X75" s="372"/>
      <c r="Y75" s="372"/>
      <c r="Z75" s="372"/>
      <c r="AA75" s="372"/>
    </row>
    <row r="76" spans="1:27" s="7" customFormat="1" ht="12.75" customHeight="1">
      <c r="A76" s="279"/>
      <c r="E76" s="550" t="s">
        <v>15</v>
      </c>
      <c r="F76" s="551"/>
      <c r="G76" s="551"/>
      <c r="H76" s="551"/>
      <c r="I76" s="552"/>
      <c r="J76" s="573" t="s">
        <v>39</v>
      </c>
      <c r="K76" s="606" t="s">
        <v>36</v>
      </c>
      <c r="L76" s="578" t="s">
        <v>21</v>
      </c>
      <c r="M76" s="579"/>
      <c r="N76" s="579"/>
      <c r="O76" s="579"/>
      <c r="P76" s="579"/>
      <c r="Q76" s="579"/>
      <c r="R76" s="579"/>
      <c r="S76" s="579"/>
      <c r="T76" s="579"/>
      <c r="U76" s="579"/>
      <c r="V76" s="579"/>
      <c r="W76" s="580"/>
      <c r="X76" s="381"/>
      <c r="Y76" s="381"/>
      <c r="Z76" s="381"/>
      <c r="AA76" s="381"/>
    </row>
    <row r="77" spans="1:27" s="8" customFormat="1" ht="13.5" customHeight="1">
      <c r="A77" s="281"/>
      <c r="E77" s="553"/>
      <c r="F77" s="554"/>
      <c r="G77" s="554"/>
      <c r="H77" s="554"/>
      <c r="I77" s="555"/>
      <c r="J77" s="573"/>
      <c r="K77" s="606"/>
      <c r="L77" s="51" t="s">
        <v>22</v>
      </c>
      <c r="M77" s="51" t="s">
        <v>58</v>
      </c>
      <c r="N77" s="51" t="s">
        <v>23</v>
      </c>
      <c r="O77" s="51" t="s">
        <v>24</v>
      </c>
      <c r="P77" s="51" t="s">
        <v>25</v>
      </c>
      <c r="Q77" s="51" t="s">
        <v>26</v>
      </c>
      <c r="R77" s="51" t="s">
        <v>27</v>
      </c>
      <c r="S77" s="51" t="s">
        <v>28</v>
      </c>
      <c r="T77" s="51" t="s">
        <v>54</v>
      </c>
      <c r="U77" s="51" t="s">
        <v>55</v>
      </c>
      <c r="V77" s="51" t="s">
        <v>56</v>
      </c>
      <c r="W77" s="52" t="s">
        <v>57</v>
      </c>
      <c r="X77" s="376"/>
      <c r="Y77" s="376"/>
      <c r="Z77" s="376"/>
      <c r="AA77" s="376"/>
    </row>
    <row r="78" spans="5:27" ht="12.75">
      <c r="E78" s="672" t="s">
        <v>328</v>
      </c>
      <c r="F78" s="673"/>
      <c r="G78" s="673"/>
      <c r="H78" s="673"/>
      <c r="I78" s="674"/>
      <c r="J78" s="354"/>
      <c r="K78" s="355">
        <v>424473392</v>
      </c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5"/>
      <c r="X78" s="372"/>
      <c r="Y78" s="372"/>
      <c r="Z78" s="372"/>
      <c r="AA78" s="372"/>
    </row>
    <row r="79" spans="5:27" ht="12.75">
      <c r="E79" s="547"/>
      <c r="F79" s="548"/>
      <c r="G79" s="548"/>
      <c r="H79" s="548"/>
      <c r="I79" s="549"/>
      <c r="J79" s="46"/>
      <c r="K79" s="47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5"/>
      <c r="X79" s="372"/>
      <c r="Y79" s="372"/>
      <c r="Z79" s="372"/>
      <c r="AA79" s="372"/>
    </row>
    <row r="80" spans="5:27" ht="12.75">
      <c r="E80" s="547"/>
      <c r="F80" s="548"/>
      <c r="G80" s="548"/>
      <c r="H80" s="548"/>
      <c r="I80" s="549"/>
      <c r="J80" s="46"/>
      <c r="K80" s="47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5"/>
      <c r="X80" s="372"/>
      <c r="Y80" s="372"/>
      <c r="Z80" s="372"/>
      <c r="AA80" s="372"/>
    </row>
    <row r="81" spans="5:27" ht="12.75">
      <c r="E81" s="547"/>
      <c r="F81" s="548"/>
      <c r="G81" s="548"/>
      <c r="H81" s="548"/>
      <c r="I81" s="549"/>
      <c r="J81" s="46"/>
      <c r="K81" s="47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5"/>
      <c r="X81" s="372"/>
      <c r="Y81" s="372"/>
      <c r="Z81" s="372"/>
      <c r="AA81" s="372"/>
    </row>
    <row r="82" spans="5:27" ht="13.5" thickBot="1">
      <c r="E82" s="556" t="s">
        <v>29</v>
      </c>
      <c r="F82" s="557"/>
      <c r="G82" s="557"/>
      <c r="H82" s="557"/>
      <c r="I82" s="557"/>
      <c r="J82" s="558"/>
      <c r="K82" s="79">
        <f>SUM(K78:K81)</f>
        <v>424473392</v>
      </c>
      <c r="L82" s="593"/>
      <c r="M82" s="594"/>
      <c r="N82" s="594"/>
      <c r="O82" s="594"/>
      <c r="P82" s="594"/>
      <c r="Q82" s="594"/>
      <c r="R82" s="594"/>
      <c r="S82" s="594"/>
      <c r="T82" s="594"/>
      <c r="U82" s="594"/>
      <c r="V82" s="594"/>
      <c r="W82" s="595"/>
      <c r="X82" s="372"/>
      <c r="Y82" s="372"/>
      <c r="Z82" s="372"/>
      <c r="AA82" s="372"/>
    </row>
    <row r="83" spans="1:27" s="4" customFormat="1" ht="19.5" customHeight="1" thickBot="1">
      <c r="A83" s="280"/>
      <c r="E83" s="274" t="s">
        <v>44</v>
      </c>
      <c r="F83" s="275"/>
      <c r="G83" s="73"/>
      <c r="H83" s="74"/>
      <c r="I83" s="75"/>
      <c r="J83" s="76"/>
      <c r="K83" s="75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8"/>
      <c r="X83" s="379"/>
      <c r="Y83" s="379"/>
      <c r="Z83" s="379"/>
      <c r="AA83" s="379"/>
    </row>
    <row r="84" spans="1:27" s="7" customFormat="1" ht="12.75" customHeight="1">
      <c r="A84" s="279"/>
      <c r="E84" s="550" t="s">
        <v>15</v>
      </c>
      <c r="F84" s="551"/>
      <c r="G84" s="552"/>
      <c r="H84" s="573" t="s">
        <v>35</v>
      </c>
      <c r="I84" s="574" t="s">
        <v>17</v>
      </c>
      <c r="J84" s="561" t="s">
        <v>33</v>
      </c>
      <c r="K84" s="670" t="s">
        <v>20</v>
      </c>
      <c r="L84" s="578" t="s">
        <v>21</v>
      </c>
      <c r="M84" s="579"/>
      <c r="N84" s="579"/>
      <c r="O84" s="579"/>
      <c r="P84" s="579"/>
      <c r="Q84" s="579"/>
      <c r="R84" s="579"/>
      <c r="S84" s="579"/>
      <c r="T84" s="579"/>
      <c r="U84" s="579"/>
      <c r="V84" s="579"/>
      <c r="W84" s="580"/>
      <c r="X84" s="381"/>
      <c r="Y84" s="381"/>
      <c r="Z84" s="381"/>
      <c r="AA84" s="381"/>
    </row>
    <row r="85" spans="1:27" s="8" customFormat="1" ht="13.5" customHeight="1">
      <c r="A85" s="281"/>
      <c r="E85" s="553"/>
      <c r="F85" s="554"/>
      <c r="G85" s="555"/>
      <c r="H85" s="573"/>
      <c r="I85" s="562"/>
      <c r="J85" s="562"/>
      <c r="K85" s="671"/>
      <c r="L85" s="51" t="s">
        <v>22</v>
      </c>
      <c r="M85" s="51" t="s">
        <v>58</v>
      </c>
      <c r="N85" s="51" t="s">
        <v>23</v>
      </c>
      <c r="O85" s="51" t="s">
        <v>24</v>
      </c>
      <c r="P85" s="51" t="s">
        <v>25</v>
      </c>
      <c r="Q85" s="51" t="s">
        <v>26</v>
      </c>
      <c r="R85" s="51" t="s">
        <v>27</v>
      </c>
      <c r="S85" s="51" t="s">
        <v>28</v>
      </c>
      <c r="T85" s="51" t="s">
        <v>54</v>
      </c>
      <c r="U85" s="51" t="s">
        <v>55</v>
      </c>
      <c r="V85" s="51" t="s">
        <v>56</v>
      </c>
      <c r="W85" s="52" t="s">
        <v>57</v>
      </c>
      <c r="X85" s="376"/>
      <c r="Y85" s="376"/>
      <c r="Z85" s="376"/>
      <c r="AA85" s="376"/>
    </row>
    <row r="86" spans="1:23" s="8" customFormat="1" ht="13.5" customHeight="1">
      <c r="A86" s="281"/>
      <c r="E86" s="407" t="s">
        <v>524</v>
      </c>
      <c r="F86" s="408"/>
      <c r="G86" s="409"/>
      <c r="H86" s="219" t="s">
        <v>327</v>
      </c>
      <c r="I86" s="252">
        <v>1</v>
      </c>
      <c r="J86" s="253">
        <v>458979910</v>
      </c>
      <c r="K86" s="253">
        <v>460815830</v>
      </c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2"/>
    </row>
    <row r="87" spans="1:23" s="8" customFormat="1" ht="13.5" customHeight="1">
      <c r="A87" s="281"/>
      <c r="E87" s="563" t="s">
        <v>318</v>
      </c>
      <c r="F87" s="564"/>
      <c r="G87" s="565"/>
      <c r="H87" s="194" t="s">
        <v>327</v>
      </c>
      <c r="I87" s="195">
        <v>1</v>
      </c>
      <c r="J87" s="196">
        <v>93776892</v>
      </c>
      <c r="K87" s="196">
        <v>94152000</v>
      </c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2"/>
    </row>
    <row r="88" spans="1:23" s="8" customFormat="1" ht="13.5" customHeight="1">
      <c r="A88" s="281"/>
      <c r="E88" s="410" t="s">
        <v>319</v>
      </c>
      <c r="F88" s="411"/>
      <c r="G88" s="412"/>
      <c r="H88" s="219" t="s">
        <v>327</v>
      </c>
      <c r="I88" s="252">
        <v>1</v>
      </c>
      <c r="J88" s="253">
        <v>10000000</v>
      </c>
      <c r="K88" s="196">
        <f>J88*1.004</f>
        <v>10040000</v>
      </c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2"/>
    </row>
    <row r="89" spans="1:23" s="8" customFormat="1" ht="13.5" customHeight="1">
      <c r="A89" s="281"/>
      <c r="E89" s="410" t="s">
        <v>526</v>
      </c>
      <c r="F89" s="411"/>
      <c r="G89" s="412"/>
      <c r="H89" s="219" t="s">
        <v>327</v>
      </c>
      <c r="I89" s="252">
        <v>1</v>
      </c>
      <c r="J89" s="253">
        <v>89641429</v>
      </c>
      <c r="K89" s="196">
        <f>89999995</f>
        <v>89999995</v>
      </c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2"/>
    </row>
    <row r="90" spans="1:23" s="8" customFormat="1" ht="13.5" customHeight="1">
      <c r="A90" s="281"/>
      <c r="E90" s="563" t="s">
        <v>329</v>
      </c>
      <c r="F90" s="564"/>
      <c r="G90" s="565"/>
      <c r="H90" s="194" t="s">
        <v>327</v>
      </c>
      <c r="I90" s="195">
        <v>1</v>
      </c>
      <c r="J90" s="196">
        <f>K90/1.004</f>
        <v>43528340.637450196</v>
      </c>
      <c r="K90" s="295">
        <v>43702454</v>
      </c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2"/>
    </row>
    <row r="91" spans="1:23" s="8" customFormat="1" ht="13.5" customHeight="1">
      <c r="A91" s="281"/>
      <c r="E91" s="563" t="s">
        <v>320</v>
      </c>
      <c r="F91" s="564"/>
      <c r="G91" s="565"/>
      <c r="H91" s="194" t="s">
        <v>327</v>
      </c>
      <c r="I91" s="195">
        <v>1</v>
      </c>
      <c r="J91" s="196">
        <v>20000000</v>
      </c>
      <c r="K91" s="295">
        <f>J91*1.004</f>
        <v>20080000</v>
      </c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2"/>
    </row>
    <row r="92" spans="1:23" s="8" customFormat="1" ht="13.5" customHeight="1">
      <c r="A92" s="281"/>
      <c r="E92" s="563" t="s">
        <v>321</v>
      </c>
      <c r="F92" s="564"/>
      <c r="G92" s="565"/>
      <c r="H92" s="194" t="s">
        <v>327</v>
      </c>
      <c r="I92" s="195">
        <v>1</v>
      </c>
      <c r="J92" s="196">
        <v>15000000</v>
      </c>
      <c r="K92" s="295">
        <f>J92*1.004</f>
        <v>15060000</v>
      </c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2"/>
    </row>
    <row r="93" spans="1:23" s="8" customFormat="1" ht="13.5" customHeight="1">
      <c r="A93" s="281"/>
      <c r="E93" s="563" t="s">
        <v>322</v>
      </c>
      <c r="F93" s="564"/>
      <c r="G93" s="565"/>
      <c r="H93" s="194" t="s">
        <v>327</v>
      </c>
      <c r="I93" s="195">
        <v>1</v>
      </c>
      <c r="J93" s="196">
        <v>4000000</v>
      </c>
      <c r="K93" s="295">
        <f>J93*1.004</f>
        <v>4016000</v>
      </c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2"/>
    </row>
    <row r="94" spans="1:23" s="8" customFormat="1" ht="13.5" customHeight="1">
      <c r="A94" s="281"/>
      <c r="E94" s="563" t="s">
        <v>323</v>
      </c>
      <c r="F94" s="564"/>
      <c r="G94" s="565"/>
      <c r="H94" s="194" t="s">
        <v>327</v>
      </c>
      <c r="I94" s="195">
        <v>1</v>
      </c>
      <c r="J94" s="196">
        <v>8000000</v>
      </c>
      <c r="K94" s="295">
        <f>J94*1.004</f>
        <v>8032000</v>
      </c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2"/>
    </row>
    <row r="95" spans="1:23" s="8" customFormat="1" ht="13.5" customHeight="1">
      <c r="A95" s="281"/>
      <c r="E95" s="563" t="s">
        <v>324</v>
      </c>
      <c r="F95" s="564"/>
      <c r="G95" s="565"/>
      <c r="H95" s="194" t="s">
        <v>327</v>
      </c>
      <c r="I95" s="195">
        <v>1</v>
      </c>
      <c r="J95" s="196">
        <v>2000000</v>
      </c>
      <c r="K95" s="295">
        <f>J95*1.004</f>
        <v>2008000</v>
      </c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2"/>
    </row>
    <row r="96" spans="1:23" s="8" customFormat="1" ht="13.5" customHeight="1">
      <c r="A96" s="281"/>
      <c r="E96" s="563" t="s">
        <v>325</v>
      </c>
      <c r="F96" s="564"/>
      <c r="G96" s="565"/>
      <c r="H96" s="194" t="s">
        <v>327</v>
      </c>
      <c r="I96" s="195">
        <v>1</v>
      </c>
      <c r="J96" s="196">
        <f>K96/1.004</f>
        <v>22550397.410358567</v>
      </c>
      <c r="K96" s="295">
        <v>22640599</v>
      </c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2"/>
    </row>
    <row r="97" spans="1:23" s="8" customFormat="1" ht="13.5" customHeight="1">
      <c r="A97" s="281"/>
      <c r="E97" s="563" t="s">
        <v>330</v>
      </c>
      <c r="F97" s="564"/>
      <c r="G97" s="565"/>
      <c r="H97" s="194" t="s">
        <v>327</v>
      </c>
      <c r="I97" s="195">
        <v>1</v>
      </c>
      <c r="J97" s="196">
        <f>K97/1.004</f>
        <v>28919000</v>
      </c>
      <c r="K97" s="295">
        <v>29034676</v>
      </c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2"/>
    </row>
    <row r="98" spans="1:23" s="8" customFormat="1" ht="13.5" customHeight="1">
      <c r="A98" s="281"/>
      <c r="E98" s="563" t="s">
        <v>331</v>
      </c>
      <c r="F98" s="564"/>
      <c r="G98" s="565"/>
      <c r="H98" s="194" t="s">
        <v>327</v>
      </c>
      <c r="I98" s="195">
        <v>1</v>
      </c>
      <c r="J98" s="196">
        <f>K98/1.004</f>
        <v>31081000</v>
      </c>
      <c r="K98" s="295">
        <v>31205324</v>
      </c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2"/>
    </row>
    <row r="99" spans="5:23" ht="13.5" thickBot="1">
      <c r="E99" s="556" t="s">
        <v>29</v>
      </c>
      <c r="F99" s="557"/>
      <c r="G99" s="557"/>
      <c r="H99" s="557"/>
      <c r="I99" s="557"/>
      <c r="J99" s="558"/>
      <c r="K99" s="71">
        <f>SUM(K86:K98)</f>
        <v>830786878</v>
      </c>
      <c r="L99" s="593"/>
      <c r="M99" s="594"/>
      <c r="N99" s="594"/>
      <c r="O99" s="594"/>
      <c r="P99" s="594"/>
      <c r="Q99" s="594"/>
      <c r="R99" s="594"/>
      <c r="S99" s="594"/>
      <c r="T99" s="594"/>
      <c r="U99" s="594"/>
      <c r="V99" s="594"/>
      <c r="W99" s="595"/>
    </row>
    <row r="100" spans="5:23" ht="18" customHeight="1" thickBot="1">
      <c r="E100" s="274" t="s">
        <v>86</v>
      </c>
      <c r="F100" s="275"/>
      <c r="G100" s="73"/>
      <c r="H100" s="74"/>
      <c r="I100" s="75"/>
      <c r="J100" s="76"/>
      <c r="K100" s="75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8"/>
    </row>
    <row r="101" spans="5:23" ht="12.75">
      <c r="E101" s="550" t="s">
        <v>15</v>
      </c>
      <c r="F101" s="551"/>
      <c r="G101" s="552"/>
      <c r="H101" s="573" t="s">
        <v>35</v>
      </c>
      <c r="I101" s="574" t="s">
        <v>17</v>
      </c>
      <c r="J101" s="561" t="s">
        <v>33</v>
      </c>
      <c r="K101" s="559" t="s">
        <v>20</v>
      </c>
      <c r="L101" s="578" t="s">
        <v>21</v>
      </c>
      <c r="M101" s="579"/>
      <c r="N101" s="579"/>
      <c r="O101" s="579"/>
      <c r="P101" s="579"/>
      <c r="Q101" s="579"/>
      <c r="R101" s="579"/>
      <c r="S101" s="579"/>
      <c r="T101" s="579"/>
      <c r="U101" s="579"/>
      <c r="V101" s="579"/>
      <c r="W101" s="580"/>
    </row>
    <row r="102" spans="5:23" ht="16.5">
      <c r="E102" s="553"/>
      <c r="F102" s="554"/>
      <c r="G102" s="555"/>
      <c r="H102" s="573"/>
      <c r="I102" s="562"/>
      <c r="J102" s="562"/>
      <c r="K102" s="560"/>
      <c r="L102" s="51" t="s">
        <v>22</v>
      </c>
      <c r="M102" s="51" t="s">
        <v>58</v>
      </c>
      <c r="N102" s="51" t="s">
        <v>23</v>
      </c>
      <c r="O102" s="51" t="s">
        <v>24</v>
      </c>
      <c r="P102" s="51" t="s">
        <v>25</v>
      </c>
      <c r="Q102" s="51" t="s">
        <v>26</v>
      </c>
      <c r="R102" s="51" t="s">
        <v>27</v>
      </c>
      <c r="S102" s="51" t="s">
        <v>28</v>
      </c>
      <c r="T102" s="51" t="s">
        <v>54</v>
      </c>
      <c r="U102" s="51" t="s">
        <v>55</v>
      </c>
      <c r="V102" s="51" t="s">
        <v>56</v>
      </c>
      <c r="W102" s="51" t="s">
        <v>57</v>
      </c>
    </row>
    <row r="103" spans="5:23" ht="12.75">
      <c r="E103" s="585" t="s">
        <v>88</v>
      </c>
      <c r="F103" s="586"/>
      <c r="G103" s="568"/>
      <c r="H103" s="53"/>
      <c r="I103" s="47"/>
      <c r="J103" s="214">
        <v>11774920</v>
      </c>
      <c r="K103" s="215">
        <f>J103</f>
        <v>11774920</v>
      </c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</row>
    <row r="104" spans="5:23" ht="12.75">
      <c r="E104" s="585" t="s">
        <v>106</v>
      </c>
      <c r="F104" s="586"/>
      <c r="G104" s="568"/>
      <c r="H104" s="53"/>
      <c r="I104" s="47"/>
      <c r="J104" s="215">
        <v>1582000</v>
      </c>
      <c r="K104" s="215">
        <f>J104</f>
        <v>1582000</v>
      </c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</row>
    <row r="105" spans="5:23" ht="12.75">
      <c r="E105" s="585" t="s">
        <v>107</v>
      </c>
      <c r="F105" s="586"/>
      <c r="G105" s="568"/>
      <c r="H105" s="53"/>
      <c r="I105" s="47"/>
      <c r="J105" s="215">
        <v>172928640.8</v>
      </c>
      <c r="K105" s="215">
        <f>J105</f>
        <v>172928640.8</v>
      </c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</row>
    <row r="106" spans="5:23" ht="12.75">
      <c r="E106" s="566" t="s">
        <v>108</v>
      </c>
      <c r="F106" s="567"/>
      <c r="G106" s="568"/>
      <c r="H106" s="53"/>
      <c r="I106" s="47"/>
      <c r="J106" s="215">
        <v>5756900</v>
      </c>
      <c r="K106" s="215">
        <f>J106</f>
        <v>5756900</v>
      </c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</row>
    <row r="107" spans="5:23" ht="12.75">
      <c r="E107" s="566" t="s">
        <v>105</v>
      </c>
      <c r="F107" s="567"/>
      <c r="G107" s="568"/>
      <c r="H107" s="53"/>
      <c r="I107" s="47"/>
      <c r="J107" s="46"/>
      <c r="K107" s="47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</row>
    <row r="108" spans="5:23" ht="12.75">
      <c r="E108" s="590" t="s">
        <v>29</v>
      </c>
      <c r="F108" s="591"/>
      <c r="G108" s="591"/>
      <c r="H108" s="591"/>
      <c r="I108" s="591"/>
      <c r="J108" s="592"/>
      <c r="K108" s="71">
        <f>SUM(K103:K107)</f>
        <v>192042460.8</v>
      </c>
      <c r="L108" s="587"/>
      <c r="M108" s="588"/>
      <c r="N108" s="588"/>
      <c r="O108" s="588"/>
      <c r="P108" s="588"/>
      <c r="Q108" s="588"/>
      <c r="R108" s="588"/>
      <c r="S108" s="588"/>
      <c r="T108" s="588"/>
      <c r="U108" s="588"/>
      <c r="V108" s="588"/>
      <c r="W108" s="589"/>
    </row>
    <row r="109" spans="5:23" ht="12.75">
      <c r="E109" s="581" t="s">
        <v>87</v>
      </c>
      <c r="F109" s="581"/>
      <c r="G109" s="581"/>
      <c r="H109" s="581"/>
      <c r="I109" s="581"/>
      <c r="J109" s="581"/>
      <c r="K109" s="47">
        <f>K41+K49+K58+K66+K74+K82+K99</f>
        <v>2260689741.2</v>
      </c>
      <c r="L109" s="582"/>
      <c r="M109" s="583"/>
      <c r="N109" s="583"/>
      <c r="O109" s="583"/>
      <c r="P109" s="583"/>
      <c r="Q109" s="583"/>
      <c r="R109" s="583"/>
      <c r="S109" s="583"/>
      <c r="T109" s="583"/>
      <c r="U109" s="583"/>
      <c r="V109" s="583"/>
      <c r="W109" s="584"/>
    </row>
    <row r="110" spans="5:23" ht="12.75">
      <c r="E110" s="285"/>
      <c r="F110" s="285"/>
      <c r="G110" s="80"/>
      <c r="H110" s="81"/>
      <c r="I110" s="82"/>
      <c r="J110" s="83"/>
      <c r="K110" s="82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</row>
    <row r="111" ht="12.75" hidden="1">
      <c r="K111" s="259" t="e">
        <f>K109-#REF!</f>
        <v>#REF!</v>
      </c>
    </row>
    <row r="112" spans="11:13" ht="12.75" hidden="1">
      <c r="K112" s="13"/>
      <c r="L112" s="13"/>
      <c r="M112" s="13"/>
    </row>
    <row r="113" spans="11:13" ht="12.75" hidden="1">
      <c r="K113" s="251" t="e">
        <f>K111-'POA H.A'!I11</f>
        <v>#REF!</v>
      </c>
      <c r="L113" s="13"/>
      <c r="M113" s="13"/>
    </row>
    <row r="114" spans="11:13" ht="12.75" hidden="1">
      <c r="K114" s="13"/>
      <c r="L114" s="13"/>
      <c r="M114" s="13"/>
    </row>
    <row r="115" spans="11:13" ht="12.75" hidden="1">
      <c r="K115" s="13"/>
      <c r="L115" s="13"/>
      <c r="M115" s="13"/>
    </row>
    <row r="116" ht="12.75" hidden="1"/>
    <row r="117" ht="12.75" hidden="1"/>
    <row r="118" spans="10:11" ht="12.75" hidden="1">
      <c r="J118" s="92" t="s">
        <v>336</v>
      </c>
      <c r="K118" s="261">
        <f>'POA H.A'!I11</f>
        <v>2260689741.1216087</v>
      </c>
    </row>
    <row r="119" spans="10:11" ht="12.75" hidden="1">
      <c r="J119" s="168" t="s">
        <v>337</v>
      </c>
      <c r="K119" s="262">
        <f>K41</f>
        <v>548605228.2</v>
      </c>
    </row>
    <row r="120" spans="10:11" ht="12.75" hidden="1">
      <c r="J120" s="143" t="s">
        <v>333</v>
      </c>
      <c r="K120" s="262">
        <f>K46</f>
        <v>144127509</v>
      </c>
    </row>
    <row r="121" spans="10:11" ht="25.5" hidden="1">
      <c r="J121" s="263" t="s">
        <v>334</v>
      </c>
      <c r="K121" s="262">
        <f>K94+K93+K87</f>
        <v>106200000</v>
      </c>
    </row>
    <row r="122" spans="10:11" ht="12.75" hidden="1">
      <c r="J122" s="143" t="s">
        <v>335</v>
      </c>
      <c r="K122" s="262">
        <f>K88</f>
        <v>10040000</v>
      </c>
    </row>
    <row r="123" spans="10:11" ht="12.75" hidden="1">
      <c r="J123" s="264" t="s">
        <v>233</v>
      </c>
      <c r="K123" s="265">
        <f>SUM(K119:K122)</f>
        <v>808972737.2</v>
      </c>
    </row>
    <row r="124" spans="10:11" ht="12.75" hidden="1">
      <c r="J124" s="266" t="s">
        <v>338</v>
      </c>
      <c r="K124" s="267">
        <f>K123-K118</f>
        <v>-1451717003.9216087</v>
      </c>
    </row>
    <row r="126" ht="12.75">
      <c r="K126" s="383"/>
    </row>
    <row r="127" ht="12.75">
      <c r="K127" s="383">
        <f>K109-2260689741</f>
        <v>0.19999980926513672</v>
      </c>
    </row>
    <row r="128" ht="12.75">
      <c r="K128" s="383">
        <v>2260689741</v>
      </c>
    </row>
    <row r="129" ht="12.75">
      <c r="K129" s="383"/>
    </row>
  </sheetData>
  <sheetProtection/>
  <mergeCells count="126">
    <mergeCell ref="E1:E4"/>
    <mergeCell ref="G1:O2"/>
    <mergeCell ref="P1:W1"/>
    <mergeCell ref="P2:W2"/>
    <mergeCell ref="G3:O4"/>
    <mergeCell ref="P3:S3"/>
    <mergeCell ref="T3:W3"/>
    <mergeCell ref="P4:S4"/>
    <mergeCell ref="T4:W4"/>
    <mergeCell ref="E5:W6"/>
    <mergeCell ref="E7:W8"/>
    <mergeCell ref="E9:K9"/>
    <mergeCell ref="E10:G11"/>
    <mergeCell ref="H10:H11"/>
    <mergeCell ref="I10:I11"/>
    <mergeCell ref="J10:J11"/>
    <mergeCell ref="K10:K11"/>
    <mergeCell ref="I20:I21"/>
    <mergeCell ref="J20:J21"/>
    <mergeCell ref="K20:K21"/>
    <mergeCell ref="E12:G12"/>
    <mergeCell ref="E13:G13"/>
    <mergeCell ref="E14:G14"/>
    <mergeCell ref="E15:G15"/>
    <mergeCell ref="E16:G16"/>
    <mergeCell ref="E17:G17"/>
    <mergeCell ref="I43:I44"/>
    <mergeCell ref="J43:J44"/>
    <mergeCell ref="K43:K44"/>
    <mergeCell ref="L43:W43"/>
    <mergeCell ref="E18:J18"/>
    <mergeCell ref="E19:K19"/>
    <mergeCell ref="E20:E21"/>
    <mergeCell ref="F20:F21"/>
    <mergeCell ref="G20:G21"/>
    <mergeCell ref="H20:H21"/>
    <mergeCell ref="E45:G45"/>
    <mergeCell ref="E46:G46"/>
    <mergeCell ref="E49:J49"/>
    <mergeCell ref="E50:K50"/>
    <mergeCell ref="L20:W20"/>
    <mergeCell ref="E41:J41"/>
    <mergeCell ref="L41:W41"/>
    <mergeCell ref="E42:K42"/>
    <mergeCell ref="E43:G44"/>
    <mergeCell ref="H43:H44"/>
    <mergeCell ref="L50:R50"/>
    <mergeCell ref="E52:G53"/>
    <mergeCell ref="H52:H53"/>
    <mergeCell ref="I52:I53"/>
    <mergeCell ref="J52:J53"/>
    <mergeCell ref="K52:K53"/>
    <mergeCell ref="L52:W52"/>
    <mergeCell ref="E54:G54"/>
    <mergeCell ref="E55:G55"/>
    <mergeCell ref="E56:G56"/>
    <mergeCell ref="E57:G57"/>
    <mergeCell ref="E58:J58"/>
    <mergeCell ref="L58:W58"/>
    <mergeCell ref="E60:G61"/>
    <mergeCell ref="H60:H61"/>
    <mergeCell ref="I60:I61"/>
    <mergeCell ref="J60:J61"/>
    <mergeCell ref="K60:K61"/>
    <mergeCell ref="L60:W60"/>
    <mergeCell ref="E62:G62"/>
    <mergeCell ref="E63:G63"/>
    <mergeCell ref="E64:G64"/>
    <mergeCell ref="E66:J66"/>
    <mergeCell ref="L66:W66"/>
    <mergeCell ref="E68:F69"/>
    <mergeCell ref="G68:G69"/>
    <mergeCell ref="H68:H69"/>
    <mergeCell ref="I68:I69"/>
    <mergeCell ref="J68:J69"/>
    <mergeCell ref="K68:K69"/>
    <mergeCell ref="L68:W68"/>
    <mergeCell ref="E70:F70"/>
    <mergeCell ref="E71:F71"/>
    <mergeCell ref="E72:F72"/>
    <mergeCell ref="E73:F73"/>
    <mergeCell ref="E74:J74"/>
    <mergeCell ref="L74:W74"/>
    <mergeCell ref="E76:I77"/>
    <mergeCell ref="J76:J77"/>
    <mergeCell ref="K76:K77"/>
    <mergeCell ref="L76:W76"/>
    <mergeCell ref="E78:I78"/>
    <mergeCell ref="E79:I79"/>
    <mergeCell ref="E80:I80"/>
    <mergeCell ref="E81:I81"/>
    <mergeCell ref="E82:J82"/>
    <mergeCell ref="L82:W82"/>
    <mergeCell ref="E84:G85"/>
    <mergeCell ref="H84:H85"/>
    <mergeCell ref="I84:I85"/>
    <mergeCell ref="J84:J85"/>
    <mergeCell ref="K84:K85"/>
    <mergeCell ref="L84:W84"/>
    <mergeCell ref="E87:G87"/>
    <mergeCell ref="E90:G90"/>
    <mergeCell ref="E91:G91"/>
    <mergeCell ref="E92:G92"/>
    <mergeCell ref="E93:G93"/>
    <mergeCell ref="E94:G94"/>
    <mergeCell ref="E95:G95"/>
    <mergeCell ref="E96:G96"/>
    <mergeCell ref="E97:G97"/>
    <mergeCell ref="E98:G98"/>
    <mergeCell ref="E99:J99"/>
    <mergeCell ref="L99:W99"/>
    <mergeCell ref="E101:G102"/>
    <mergeCell ref="H101:H102"/>
    <mergeCell ref="I101:I102"/>
    <mergeCell ref="J101:J102"/>
    <mergeCell ref="K101:K102"/>
    <mergeCell ref="L101:W101"/>
    <mergeCell ref="L108:W108"/>
    <mergeCell ref="E109:J109"/>
    <mergeCell ref="L109:W109"/>
    <mergeCell ref="E103:G103"/>
    <mergeCell ref="E104:G104"/>
    <mergeCell ref="E105:G105"/>
    <mergeCell ref="E106:G106"/>
    <mergeCell ref="E107:G107"/>
    <mergeCell ref="E108:J108"/>
  </mergeCells>
  <printOptions horizontalCentered="1" verticalCentered="1"/>
  <pageMargins left="0" right="0" top="0" bottom="0" header="0" footer="0"/>
  <pageSetup horizontalDpi="600" verticalDpi="600" orientation="landscape" paperSize="122" scale="67" r:id="rId4"/>
  <rowBreaks count="1" manualBreakCount="1">
    <brk id="58" max="25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zoomScaleSheetLayoutView="100" zoomScalePageLayoutView="0" workbookViewId="0" topLeftCell="A10">
      <selection activeCell="I26" sqref="I26"/>
    </sheetView>
  </sheetViews>
  <sheetFormatPr defaultColWidth="11.421875" defaultRowHeight="12.75"/>
  <cols>
    <col min="1" max="1" width="21.421875" style="14" customWidth="1"/>
    <col min="2" max="2" width="18.8515625" style="14" customWidth="1"/>
    <col min="3" max="3" width="17.57421875" style="14" customWidth="1"/>
    <col min="4" max="4" width="16.28125" style="14" customWidth="1"/>
    <col min="5" max="5" width="10.7109375" style="14" customWidth="1"/>
    <col min="6" max="6" width="13.7109375" style="19" customWidth="1"/>
    <col min="7" max="7" width="17.00390625" style="20" customWidth="1"/>
    <col min="8" max="16384" width="11.421875" style="14" customWidth="1"/>
  </cols>
  <sheetData>
    <row r="1" spans="1:7" ht="26.25" customHeight="1">
      <c r="A1" s="693"/>
      <c r="B1" s="696" t="s">
        <v>49</v>
      </c>
      <c r="C1" s="696"/>
      <c r="D1" s="696"/>
      <c r="E1" s="696"/>
      <c r="F1" s="459" t="s">
        <v>92</v>
      </c>
      <c r="G1" s="459"/>
    </row>
    <row r="2" spans="1:7" ht="26.25" customHeight="1">
      <c r="A2" s="694"/>
      <c r="B2" s="696"/>
      <c r="C2" s="696"/>
      <c r="D2" s="696"/>
      <c r="E2" s="696"/>
      <c r="F2" s="459" t="s">
        <v>51</v>
      </c>
      <c r="G2" s="459"/>
    </row>
    <row r="3" spans="1:13" s="1" customFormat="1" ht="26.25" customHeight="1">
      <c r="A3" s="694"/>
      <c r="B3" s="472" t="s">
        <v>50</v>
      </c>
      <c r="C3" s="472"/>
      <c r="D3" s="472"/>
      <c r="E3" s="472"/>
      <c r="F3" s="120" t="s">
        <v>52</v>
      </c>
      <c r="G3" s="120" t="s">
        <v>66</v>
      </c>
      <c r="H3" s="5"/>
      <c r="I3" s="5"/>
      <c r="J3" s="5"/>
      <c r="K3" s="5"/>
      <c r="L3" s="5"/>
      <c r="M3" s="5"/>
    </row>
    <row r="4" spans="1:13" s="1" customFormat="1" ht="26.25" customHeight="1">
      <c r="A4" s="695"/>
      <c r="B4" s="472"/>
      <c r="C4" s="472"/>
      <c r="D4" s="472"/>
      <c r="E4" s="472"/>
      <c r="F4" s="120" t="str">
        <f>+real!M4</f>
        <v>Versión 2</v>
      </c>
      <c r="G4" s="122">
        <f>+real!Q4</f>
        <v>44015</v>
      </c>
      <c r="H4" s="5"/>
      <c r="I4" s="5"/>
      <c r="J4" s="5"/>
      <c r="K4" s="5"/>
      <c r="L4" s="5"/>
      <c r="M4" s="5"/>
    </row>
    <row r="5" spans="1:13" s="1" customFormat="1" ht="21" customHeight="1">
      <c r="A5" s="697" t="s">
        <v>53</v>
      </c>
      <c r="B5" s="697"/>
      <c r="C5" s="697"/>
      <c r="D5" s="697"/>
      <c r="E5" s="697"/>
      <c r="F5" s="697"/>
      <c r="G5" s="697"/>
      <c r="H5" s="5"/>
      <c r="I5" s="5"/>
      <c r="J5" s="5"/>
      <c r="K5" s="5"/>
      <c r="L5" s="5"/>
      <c r="M5" s="5"/>
    </row>
    <row r="6" spans="1:7" ht="28.5" customHeight="1">
      <c r="A6" s="698" t="s">
        <v>259</v>
      </c>
      <c r="B6" s="699"/>
      <c r="C6" s="699"/>
      <c r="D6" s="699"/>
      <c r="E6" s="699"/>
      <c r="F6" s="699"/>
      <c r="G6" s="700"/>
    </row>
    <row r="7" spans="1:7" ht="55.5" customHeight="1">
      <c r="A7" s="21" t="s">
        <v>69</v>
      </c>
      <c r="B7" s="686" t="s">
        <v>68</v>
      </c>
      <c r="C7" s="687"/>
      <c r="D7" s="22" t="s">
        <v>35</v>
      </c>
      <c r="E7" s="23" t="s">
        <v>48</v>
      </c>
      <c r="F7" s="24" t="s">
        <v>260</v>
      </c>
      <c r="G7" s="23" t="s">
        <v>70</v>
      </c>
    </row>
    <row r="8" spans="1:7" ht="39" customHeight="1">
      <c r="A8" s="172" t="s">
        <v>339</v>
      </c>
      <c r="B8" s="679" t="s">
        <v>340</v>
      </c>
      <c r="C8" s="680"/>
      <c r="D8" s="173" t="s">
        <v>341</v>
      </c>
      <c r="E8" s="174">
        <v>10</v>
      </c>
      <c r="F8" s="175">
        <v>3335.76672</v>
      </c>
      <c r="G8" s="175">
        <f>F8*E8</f>
        <v>33357.6672</v>
      </c>
    </row>
    <row r="9" spans="1:7" ht="27.75" customHeight="1">
      <c r="A9" s="172" t="s">
        <v>342</v>
      </c>
      <c r="B9" s="679" t="s">
        <v>343</v>
      </c>
      <c r="C9" s="680"/>
      <c r="D9" s="173" t="s">
        <v>344</v>
      </c>
      <c r="E9" s="174">
        <v>1</v>
      </c>
      <c r="F9" s="175">
        <v>12056.93632</v>
      </c>
      <c r="G9" s="175">
        <f aca="true" t="shared" si="0" ref="G9:G52">F9*E9</f>
        <v>12056.93632</v>
      </c>
    </row>
    <row r="10" spans="1:7" ht="27.75" customHeight="1">
      <c r="A10" s="172" t="s">
        <v>345</v>
      </c>
      <c r="B10" s="679" t="s">
        <v>346</v>
      </c>
      <c r="C10" s="680"/>
      <c r="D10" s="176" t="s">
        <v>347</v>
      </c>
      <c r="E10" s="174">
        <v>1</v>
      </c>
      <c r="F10" s="175">
        <v>7342.55808</v>
      </c>
      <c r="G10" s="175">
        <f t="shared" si="0"/>
        <v>7342.55808</v>
      </c>
    </row>
    <row r="11" spans="1:7" ht="27.75" customHeight="1">
      <c r="A11" s="172" t="s">
        <v>348</v>
      </c>
      <c r="B11" s="679" t="s">
        <v>349</v>
      </c>
      <c r="C11" s="680"/>
      <c r="D11" s="173" t="s">
        <v>341</v>
      </c>
      <c r="E11" s="174">
        <v>1</v>
      </c>
      <c r="F11" s="175">
        <v>798.99248</v>
      </c>
      <c r="G11" s="175">
        <f t="shared" si="0"/>
        <v>798.99248</v>
      </c>
    </row>
    <row r="12" spans="1:7" ht="27.75" customHeight="1">
      <c r="A12" s="172" t="s">
        <v>350</v>
      </c>
      <c r="B12" s="679" t="s">
        <v>351</v>
      </c>
      <c r="C12" s="680"/>
      <c r="D12" s="173" t="s">
        <v>341</v>
      </c>
      <c r="E12" s="174">
        <v>11</v>
      </c>
      <c r="F12" s="175">
        <v>738.77232</v>
      </c>
      <c r="G12" s="175">
        <f t="shared" si="0"/>
        <v>8126.49552</v>
      </c>
    </row>
    <row r="13" spans="1:7" ht="27.75" customHeight="1">
      <c r="A13" s="172" t="s">
        <v>352</v>
      </c>
      <c r="B13" s="679" t="s">
        <v>353</v>
      </c>
      <c r="C13" s="680"/>
      <c r="D13" s="173" t="s">
        <v>341</v>
      </c>
      <c r="E13" s="174">
        <v>10</v>
      </c>
      <c r="F13" s="175">
        <v>714</v>
      </c>
      <c r="G13" s="175">
        <f t="shared" si="0"/>
        <v>7140</v>
      </c>
    </row>
    <row r="14" spans="1:7" ht="27.75" customHeight="1">
      <c r="A14" s="270" t="s">
        <v>352</v>
      </c>
      <c r="B14" s="679" t="s">
        <v>430</v>
      </c>
      <c r="C14" s="680"/>
      <c r="D14" s="173" t="s">
        <v>341</v>
      </c>
      <c r="E14" s="174">
        <v>1</v>
      </c>
      <c r="F14" s="175">
        <v>6190.847520000001</v>
      </c>
      <c r="G14" s="175">
        <f t="shared" si="0"/>
        <v>6190.847520000001</v>
      </c>
    </row>
    <row r="15" spans="1:7" ht="39" customHeight="1">
      <c r="A15" s="172" t="s">
        <v>354</v>
      </c>
      <c r="B15" s="691" t="s">
        <v>355</v>
      </c>
      <c r="C15" s="692"/>
      <c r="D15" s="173" t="s">
        <v>341</v>
      </c>
      <c r="E15" s="174">
        <v>80</v>
      </c>
      <c r="F15" s="175">
        <v>2886.2662400000004</v>
      </c>
      <c r="G15" s="175">
        <f t="shared" si="0"/>
        <v>230901.29920000004</v>
      </c>
    </row>
    <row r="16" spans="1:7" ht="103.5" customHeight="1">
      <c r="A16" s="172" t="s">
        <v>356</v>
      </c>
      <c r="B16" s="679" t="s">
        <v>357</v>
      </c>
      <c r="C16" s="680"/>
      <c r="D16" s="173" t="s">
        <v>341</v>
      </c>
      <c r="E16" s="174">
        <v>40</v>
      </c>
      <c r="F16" s="175">
        <v>5659.619680000001</v>
      </c>
      <c r="G16" s="175">
        <f t="shared" si="0"/>
        <v>226384.78720000002</v>
      </c>
    </row>
    <row r="17" spans="1:7" ht="27.75" customHeight="1">
      <c r="A17" s="172" t="s">
        <v>358</v>
      </c>
      <c r="B17" s="691" t="s">
        <v>359</v>
      </c>
      <c r="C17" s="692"/>
      <c r="D17" s="173" t="s">
        <v>360</v>
      </c>
      <c r="E17" s="174">
        <v>3</v>
      </c>
      <c r="F17" s="175">
        <v>6974.784960000001</v>
      </c>
      <c r="G17" s="175">
        <f t="shared" si="0"/>
        <v>20924.354880000003</v>
      </c>
    </row>
    <row r="18" spans="1:7" ht="27.75" customHeight="1">
      <c r="A18" s="177" t="s">
        <v>361</v>
      </c>
      <c r="B18" s="679" t="s">
        <v>362</v>
      </c>
      <c r="C18" s="680"/>
      <c r="D18" s="173" t="s">
        <v>360</v>
      </c>
      <c r="E18" s="174">
        <v>5</v>
      </c>
      <c r="F18" s="175">
        <v>1397.968</v>
      </c>
      <c r="G18" s="175">
        <f t="shared" si="0"/>
        <v>6989.84</v>
      </c>
    </row>
    <row r="19" spans="1:7" ht="27.75" customHeight="1">
      <c r="A19" s="177" t="s">
        <v>363</v>
      </c>
      <c r="B19" s="679" t="s">
        <v>364</v>
      </c>
      <c r="C19" s="680"/>
      <c r="D19" s="173" t="s">
        <v>360</v>
      </c>
      <c r="E19" s="174">
        <v>10</v>
      </c>
      <c r="F19" s="175">
        <v>2589.4668800000004</v>
      </c>
      <c r="G19" s="175">
        <f t="shared" si="0"/>
        <v>25894.668800000003</v>
      </c>
    </row>
    <row r="20" spans="1:7" ht="27.75" customHeight="1">
      <c r="A20" s="177" t="s">
        <v>365</v>
      </c>
      <c r="B20" s="679" t="s">
        <v>366</v>
      </c>
      <c r="C20" s="680"/>
      <c r="D20" s="173" t="s">
        <v>341</v>
      </c>
      <c r="E20" s="174">
        <v>6</v>
      </c>
      <c r="F20" s="175">
        <v>4747.714400000001</v>
      </c>
      <c r="G20" s="175">
        <f t="shared" si="0"/>
        <v>28486.286400000005</v>
      </c>
    </row>
    <row r="21" spans="1:7" ht="27.75" customHeight="1">
      <c r="A21" s="172" t="s">
        <v>367</v>
      </c>
      <c r="B21" s="679" t="s">
        <v>368</v>
      </c>
      <c r="C21" s="680"/>
      <c r="D21" s="173" t="s">
        <v>341</v>
      </c>
      <c r="E21" s="174">
        <v>8</v>
      </c>
      <c r="F21" s="175">
        <v>8344.7936</v>
      </c>
      <c r="G21" s="175">
        <f t="shared" si="0"/>
        <v>66758.3488</v>
      </c>
    </row>
    <row r="22" spans="1:7" ht="36.75" customHeight="1">
      <c r="A22" s="177" t="s">
        <v>369</v>
      </c>
      <c r="B22" s="679" t="s">
        <v>370</v>
      </c>
      <c r="C22" s="680"/>
      <c r="D22" s="173" t="s">
        <v>341</v>
      </c>
      <c r="E22" s="174">
        <v>8</v>
      </c>
      <c r="F22" s="175">
        <v>6538.1888</v>
      </c>
      <c r="G22" s="175">
        <f t="shared" si="0"/>
        <v>52305.5104</v>
      </c>
    </row>
    <row r="23" spans="1:7" ht="42.75" customHeight="1">
      <c r="A23" s="177" t="s">
        <v>371</v>
      </c>
      <c r="B23" s="679" t="s">
        <v>372</v>
      </c>
      <c r="C23" s="680"/>
      <c r="D23" s="173" t="s">
        <v>341</v>
      </c>
      <c r="E23" s="174">
        <v>8</v>
      </c>
      <c r="F23" s="175">
        <v>13259.188800000002</v>
      </c>
      <c r="G23" s="175">
        <f t="shared" si="0"/>
        <v>106073.51040000001</v>
      </c>
    </row>
    <row r="24" spans="1:7" ht="39" customHeight="1">
      <c r="A24" s="177" t="s">
        <v>373</v>
      </c>
      <c r="B24" s="679" t="s">
        <v>374</v>
      </c>
      <c r="C24" s="680"/>
      <c r="D24" s="173" t="s">
        <v>341</v>
      </c>
      <c r="E24" s="174">
        <v>5</v>
      </c>
      <c r="F24" s="175">
        <v>1344.2</v>
      </c>
      <c r="G24" s="175">
        <f t="shared" si="0"/>
        <v>6721</v>
      </c>
    </row>
    <row r="25" spans="1:7" ht="27.75" customHeight="1">
      <c r="A25" s="172" t="s">
        <v>375</v>
      </c>
      <c r="B25" s="679" t="s">
        <v>376</v>
      </c>
      <c r="C25" s="680"/>
      <c r="D25" s="173" t="s">
        <v>341</v>
      </c>
      <c r="E25" s="174">
        <v>5</v>
      </c>
      <c r="F25" s="175">
        <v>3062.62528</v>
      </c>
      <c r="G25" s="175">
        <f t="shared" si="0"/>
        <v>15313.126400000001</v>
      </c>
    </row>
    <row r="26" spans="1:7" ht="27.75" customHeight="1">
      <c r="A26" s="172" t="s">
        <v>377</v>
      </c>
      <c r="B26" s="679" t="s">
        <v>378</v>
      </c>
      <c r="C26" s="680"/>
      <c r="D26" s="173" t="s">
        <v>379</v>
      </c>
      <c r="E26" s="174">
        <v>20</v>
      </c>
      <c r="F26" s="175">
        <v>1202.25248</v>
      </c>
      <c r="G26" s="175">
        <f t="shared" si="0"/>
        <v>24045.049600000002</v>
      </c>
    </row>
    <row r="27" spans="1:7" ht="50.25" customHeight="1">
      <c r="A27" s="172" t="s">
        <v>380</v>
      </c>
      <c r="B27" s="679" t="s">
        <v>381</v>
      </c>
      <c r="C27" s="680"/>
      <c r="D27" s="173" t="s">
        <v>382</v>
      </c>
      <c r="E27" s="174">
        <v>2</v>
      </c>
      <c r="F27" s="175">
        <v>56659.64304000001</v>
      </c>
      <c r="G27" s="175">
        <f t="shared" si="0"/>
        <v>113319.28608000002</v>
      </c>
    </row>
    <row r="28" spans="1:7" ht="27.75" customHeight="1">
      <c r="A28" s="172" t="s">
        <v>383</v>
      </c>
      <c r="B28" s="679" t="s">
        <v>384</v>
      </c>
      <c r="C28" s="680"/>
      <c r="D28" s="173" t="s">
        <v>347</v>
      </c>
      <c r="E28" s="174">
        <v>5</v>
      </c>
      <c r="F28" s="175">
        <v>1458.1881600000002</v>
      </c>
      <c r="G28" s="175">
        <f t="shared" si="0"/>
        <v>7290.9408</v>
      </c>
    </row>
    <row r="29" spans="1:7" ht="27.75" customHeight="1">
      <c r="A29" s="177" t="s">
        <v>385</v>
      </c>
      <c r="B29" s="679" t="s">
        <v>386</v>
      </c>
      <c r="C29" s="680"/>
      <c r="D29" s="173" t="s">
        <v>387</v>
      </c>
      <c r="E29" s="174">
        <v>3</v>
      </c>
      <c r="F29" s="175">
        <v>3061.5499200000004</v>
      </c>
      <c r="G29" s="175">
        <f t="shared" si="0"/>
        <v>9184.64976</v>
      </c>
    </row>
    <row r="30" spans="1:7" ht="27.75" customHeight="1">
      <c r="A30" s="172" t="s">
        <v>388</v>
      </c>
      <c r="B30" s="679" t="s">
        <v>389</v>
      </c>
      <c r="C30" s="680"/>
      <c r="D30" s="173" t="s">
        <v>347</v>
      </c>
      <c r="E30" s="174">
        <v>3</v>
      </c>
      <c r="F30" s="175">
        <v>2565.8089600000003</v>
      </c>
      <c r="G30" s="175">
        <f t="shared" si="0"/>
        <v>7697.426880000001</v>
      </c>
    </row>
    <row r="31" spans="1:7" ht="27.75" customHeight="1">
      <c r="A31" s="177" t="s">
        <v>390</v>
      </c>
      <c r="B31" s="684" t="s">
        <v>391</v>
      </c>
      <c r="C31" s="685"/>
      <c r="D31" s="173" t="s">
        <v>341</v>
      </c>
      <c r="E31" s="174">
        <v>3</v>
      </c>
      <c r="F31" s="175">
        <v>1613.04</v>
      </c>
      <c r="G31" s="175">
        <f t="shared" si="0"/>
        <v>4839.12</v>
      </c>
    </row>
    <row r="32" spans="1:7" ht="27.75" customHeight="1">
      <c r="A32" s="177" t="s">
        <v>392</v>
      </c>
      <c r="B32" s="684" t="s">
        <v>393</v>
      </c>
      <c r="C32" s="685"/>
      <c r="D32" s="173" t="s">
        <v>341</v>
      </c>
      <c r="E32" s="174">
        <v>2</v>
      </c>
      <c r="F32" s="175">
        <v>3226.08</v>
      </c>
      <c r="G32" s="175">
        <f t="shared" si="0"/>
        <v>6452.16</v>
      </c>
    </row>
    <row r="33" spans="1:7" ht="27.75" customHeight="1">
      <c r="A33" s="172" t="s">
        <v>394</v>
      </c>
      <c r="B33" s="679" t="s">
        <v>395</v>
      </c>
      <c r="C33" s="680"/>
      <c r="D33" s="173" t="s">
        <v>341</v>
      </c>
      <c r="E33" s="174">
        <v>6</v>
      </c>
      <c r="F33" s="175">
        <v>3472.3374400000002</v>
      </c>
      <c r="G33" s="175">
        <f t="shared" si="0"/>
        <v>20834.024640000003</v>
      </c>
    </row>
    <row r="34" spans="1:7" ht="27.75" customHeight="1">
      <c r="A34" s="172" t="s">
        <v>396</v>
      </c>
      <c r="B34" s="679" t="s">
        <v>397</v>
      </c>
      <c r="C34" s="680"/>
      <c r="D34" s="173" t="s">
        <v>341</v>
      </c>
      <c r="E34" s="174">
        <v>3</v>
      </c>
      <c r="F34" s="175">
        <v>3272.3204800000003</v>
      </c>
      <c r="G34" s="175">
        <f t="shared" si="0"/>
        <v>9816.961440000001</v>
      </c>
    </row>
    <row r="35" spans="1:7" ht="27.75" customHeight="1">
      <c r="A35" s="172" t="s">
        <v>398</v>
      </c>
      <c r="B35" s="682" t="s">
        <v>399</v>
      </c>
      <c r="C35" s="683"/>
      <c r="D35" s="178" t="s">
        <v>341</v>
      </c>
      <c r="E35" s="174">
        <v>20</v>
      </c>
      <c r="F35" s="175">
        <v>2583.01472</v>
      </c>
      <c r="G35" s="175">
        <f t="shared" si="0"/>
        <v>51660.2944</v>
      </c>
    </row>
    <row r="36" spans="1:7" ht="27.75" customHeight="1">
      <c r="A36" s="172" t="s">
        <v>400</v>
      </c>
      <c r="B36" s="679" t="s">
        <v>401</v>
      </c>
      <c r="C36" s="680"/>
      <c r="D36" s="173" t="s">
        <v>341</v>
      </c>
      <c r="E36" s="174">
        <v>25</v>
      </c>
      <c r="F36" s="175">
        <v>13582.4</v>
      </c>
      <c r="G36" s="175">
        <f t="shared" si="0"/>
        <v>339560</v>
      </c>
    </row>
    <row r="37" spans="1:7" ht="27.75" customHeight="1">
      <c r="A37" s="172" t="s">
        <v>402</v>
      </c>
      <c r="B37" s="679" t="s">
        <v>403</v>
      </c>
      <c r="C37" s="680"/>
      <c r="D37" s="173" t="s">
        <v>341</v>
      </c>
      <c r="E37" s="174">
        <v>7</v>
      </c>
      <c r="F37" s="175">
        <v>16745.04</v>
      </c>
      <c r="G37" s="175">
        <f t="shared" si="0"/>
        <v>117215.28</v>
      </c>
    </row>
    <row r="38" spans="1:7" ht="27.75" customHeight="1">
      <c r="A38" s="172" t="s">
        <v>404</v>
      </c>
      <c r="B38" s="679" t="s">
        <v>405</v>
      </c>
      <c r="C38" s="680"/>
      <c r="D38" s="173" t="s">
        <v>341</v>
      </c>
      <c r="E38" s="174">
        <v>3</v>
      </c>
      <c r="F38" s="175">
        <v>5030.53408</v>
      </c>
      <c r="G38" s="175">
        <f t="shared" si="0"/>
        <v>15091.60224</v>
      </c>
    </row>
    <row r="39" spans="1:7" ht="27.75" customHeight="1">
      <c r="A39" s="177" t="s">
        <v>406</v>
      </c>
      <c r="B39" s="679" t="s">
        <v>407</v>
      </c>
      <c r="C39" s="680"/>
      <c r="D39" s="173" t="s">
        <v>341</v>
      </c>
      <c r="E39" s="174">
        <v>2</v>
      </c>
      <c r="F39" s="175">
        <v>3873.44672</v>
      </c>
      <c r="G39" s="175">
        <f t="shared" si="0"/>
        <v>7746.89344</v>
      </c>
    </row>
    <row r="40" spans="1:7" ht="27.75" customHeight="1">
      <c r="A40" s="172" t="s">
        <v>408</v>
      </c>
      <c r="B40" s="679" t="s">
        <v>409</v>
      </c>
      <c r="C40" s="680"/>
      <c r="D40" s="173" t="s">
        <v>341</v>
      </c>
      <c r="E40" s="174">
        <v>10</v>
      </c>
      <c r="F40" s="175">
        <v>3452.9809600000003</v>
      </c>
      <c r="G40" s="175">
        <f t="shared" si="0"/>
        <v>34529.8096</v>
      </c>
    </row>
    <row r="41" spans="1:7" ht="27.75" customHeight="1">
      <c r="A41" s="172" t="s">
        <v>410</v>
      </c>
      <c r="B41" s="679" t="s">
        <v>411</v>
      </c>
      <c r="C41" s="680"/>
      <c r="D41" s="173" t="s">
        <v>341</v>
      </c>
      <c r="E41" s="174">
        <v>10</v>
      </c>
      <c r="F41" s="175">
        <v>2527.096</v>
      </c>
      <c r="G41" s="175">
        <f t="shared" si="0"/>
        <v>25270.96</v>
      </c>
    </row>
    <row r="42" spans="1:7" ht="27.75" customHeight="1">
      <c r="A42" s="177" t="s">
        <v>412</v>
      </c>
      <c r="B42" s="679" t="s">
        <v>413</v>
      </c>
      <c r="C42" s="680"/>
      <c r="D42" s="173" t="s">
        <v>341</v>
      </c>
      <c r="E42" s="174">
        <v>10</v>
      </c>
      <c r="F42" s="175">
        <v>4318.64576</v>
      </c>
      <c r="G42" s="175">
        <f t="shared" si="0"/>
        <v>43186.4576</v>
      </c>
    </row>
    <row r="43" spans="1:7" ht="27.75" customHeight="1">
      <c r="A43" s="177" t="s">
        <v>414</v>
      </c>
      <c r="B43" s="679" t="s">
        <v>415</v>
      </c>
      <c r="C43" s="680"/>
      <c r="D43" s="173" t="s">
        <v>341</v>
      </c>
      <c r="E43" s="174">
        <v>6</v>
      </c>
      <c r="F43" s="175">
        <v>569.9408000000001</v>
      </c>
      <c r="G43" s="175">
        <f t="shared" si="0"/>
        <v>3419.6448000000005</v>
      </c>
    </row>
    <row r="44" spans="1:7" ht="27.75" customHeight="1">
      <c r="A44" s="177" t="s">
        <v>416</v>
      </c>
      <c r="B44" s="679" t="s">
        <v>417</v>
      </c>
      <c r="C44" s="680"/>
      <c r="D44" s="173" t="s">
        <v>347</v>
      </c>
      <c r="E44" s="174">
        <v>10</v>
      </c>
      <c r="F44" s="175">
        <v>1801.228</v>
      </c>
      <c r="G44" s="175">
        <f t="shared" si="0"/>
        <v>18012.28</v>
      </c>
    </row>
    <row r="45" spans="1:7" ht="27.75" customHeight="1">
      <c r="A45" s="177" t="s">
        <v>418</v>
      </c>
      <c r="B45" s="679" t="s">
        <v>419</v>
      </c>
      <c r="C45" s="680"/>
      <c r="D45" s="173" t="s">
        <v>341</v>
      </c>
      <c r="E45" s="174">
        <v>20</v>
      </c>
      <c r="F45" s="175">
        <v>1920.5929600000002</v>
      </c>
      <c r="G45" s="175">
        <f t="shared" si="0"/>
        <v>38411.859200000006</v>
      </c>
    </row>
    <row r="46" spans="1:7" ht="27.75" customHeight="1">
      <c r="A46" s="172" t="s">
        <v>420</v>
      </c>
      <c r="B46" s="679" t="s">
        <v>421</v>
      </c>
      <c r="C46" s="680"/>
      <c r="D46" s="173" t="s">
        <v>382</v>
      </c>
      <c r="E46" s="174">
        <v>8</v>
      </c>
      <c r="F46" s="175">
        <v>15300.222080000001</v>
      </c>
      <c r="G46" s="175">
        <f t="shared" si="0"/>
        <v>122401.77664000001</v>
      </c>
    </row>
    <row r="47" spans="1:7" ht="27.75" customHeight="1">
      <c r="A47" s="172" t="s">
        <v>422</v>
      </c>
      <c r="B47" s="679" t="s">
        <v>423</v>
      </c>
      <c r="C47" s="680"/>
      <c r="D47" s="173" t="s">
        <v>341</v>
      </c>
      <c r="E47" s="174">
        <v>3</v>
      </c>
      <c r="F47" s="175">
        <v>5299.37408</v>
      </c>
      <c r="G47" s="175">
        <f t="shared" si="0"/>
        <v>15898.122239999999</v>
      </c>
    </row>
    <row r="48" spans="1:7" ht="27.75" customHeight="1">
      <c r="A48" s="172" t="s">
        <v>424</v>
      </c>
      <c r="B48" s="679" t="s">
        <v>425</v>
      </c>
      <c r="C48" s="680"/>
      <c r="D48" s="173" t="s">
        <v>341</v>
      </c>
      <c r="E48" s="174">
        <v>10</v>
      </c>
      <c r="F48" s="175">
        <v>745.2244800000001</v>
      </c>
      <c r="G48" s="175">
        <f t="shared" si="0"/>
        <v>7452.2448</v>
      </c>
    </row>
    <row r="49" spans="1:7" ht="27.75" customHeight="1">
      <c r="A49" s="172" t="s">
        <v>426</v>
      </c>
      <c r="B49" s="679" t="s">
        <v>427</v>
      </c>
      <c r="C49" s="680"/>
      <c r="D49" s="173" t="s">
        <v>341</v>
      </c>
      <c r="E49" s="174">
        <v>5</v>
      </c>
      <c r="F49" s="175">
        <v>8780.314400000001</v>
      </c>
      <c r="G49" s="175">
        <f>F49*E49</f>
        <v>43901.57200000001</v>
      </c>
    </row>
    <row r="50" spans="1:7" ht="27.75" customHeight="1">
      <c r="A50" s="172" t="s">
        <v>433</v>
      </c>
      <c r="B50" s="679" t="s">
        <v>434</v>
      </c>
      <c r="C50" s="681"/>
      <c r="D50" s="173" t="s">
        <v>341</v>
      </c>
      <c r="E50" s="174">
        <v>1</v>
      </c>
      <c r="F50" s="175">
        <v>4609208.032000001</v>
      </c>
      <c r="G50" s="175">
        <f>F50*E50</f>
        <v>4609208.032000001</v>
      </c>
    </row>
    <row r="51" spans="1:7" ht="27.75" customHeight="1">
      <c r="A51" s="172" t="s">
        <v>431</v>
      </c>
      <c r="B51" s="679" t="s">
        <v>432</v>
      </c>
      <c r="C51" s="680"/>
      <c r="D51" s="173" t="s">
        <v>341</v>
      </c>
      <c r="E51" s="180">
        <v>50</v>
      </c>
      <c r="F51" s="175">
        <v>161.304</v>
      </c>
      <c r="G51" s="175">
        <f>F51*E51</f>
        <v>8065.2</v>
      </c>
    </row>
    <row r="52" spans="1:7" ht="27.75" customHeight="1">
      <c r="A52" s="172" t="s">
        <v>428</v>
      </c>
      <c r="B52" s="679" t="s">
        <v>429</v>
      </c>
      <c r="C52" s="680"/>
      <c r="D52" s="179" t="s">
        <v>379</v>
      </c>
      <c r="E52" s="180">
        <v>15</v>
      </c>
      <c r="F52" s="175">
        <v>1902.31184</v>
      </c>
      <c r="G52" s="175">
        <f t="shared" si="0"/>
        <v>28534.677600000003</v>
      </c>
    </row>
    <row r="53" spans="1:7" s="18" customFormat="1" ht="22.5" customHeight="1">
      <c r="A53" s="688" t="s">
        <v>94</v>
      </c>
      <c r="B53" s="689"/>
      <c r="C53" s="689"/>
      <c r="D53" s="689"/>
      <c r="E53" s="689"/>
      <c r="F53" s="690"/>
      <c r="G53" s="25">
        <f>SUM(G9:G52)</f>
        <v>6561454.888160001</v>
      </c>
    </row>
    <row r="54" spans="1:7" ht="12">
      <c r="A54" s="10"/>
      <c r="B54" s="26"/>
      <c r="C54" s="26"/>
      <c r="D54" s="27"/>
      <c r="E54" s="28"/>
      <c r="F54" s="28"/>
      <c r="G54" s="29"/>
    </row>
    <row r="55" ht="12">
      <c r="F55" s="30"/>
    </row>
  </sheetData>
  <sheetProtection/>
  <mergeCells count="54">
    <mergeCell ref="A1:A4"/>
    <mergeCell ref="F1:G1"/>
    <mergeCell ref="F2:G2"/>
    <mergeCell ref="B3:E4"/>
    <mergeCell ref="B1:E2"/>
    <mergeCell ref="B18:C18"/>
    <mergeCell ref="A5:G5"/>
    <mergeCell ref="A6:G6"/>
    <mergeCell ref="B17:C17"/>
    <mergeCell ref="B11:C11"/>
    <mergeCell ref="B7:C7"/>
    <mergeCell ref="B9:C9"/>
    <mergeCell ref="A53:F53"/>
    <mergeCell ref="B15:C15"/>
    <mergeCell ref="B16:C16"/>
    <mergeCell ref="B33:C33"/>
    <mergeCell ref="B8:C8"/>
    <mergeCell ref="B12:C12"/>
    <mergeCell ref="B13:C13"/>
    <mergeCell ref="B14:C14"/>
    <mergeCell ref="B10:C10"/>
    <mergeCell ref="B21:C21"/>
    <mergeCell ref="B22:C22"/>
    <mergeCell ref="B20:C20"/>
    <mergeCell ref="B19:C19"/>
    <mergeCell ref="B23:C23"/>
    <mergeCell ref="B24:C24"/>
    <mergeCell ref="B25:C25"/>
    <mergeCell ref="B35:C35"/>
    <mergeCell ref="B26:C26"/>
    <mergeCell ref="B27:C27"/>
    <mergeCell ref="B28:C28"/>
    <mergeCell ref="B29:C29"/>
    <mergeCell ref="B30:C30"/>
    <mergeCell ref="B31:C31"/>
    <mergeCell ref="B32:C32"/>
    <mergeCell ref="B34:C34"/>
    <mergeCell ref="B40:C40"/>
    <mergeCell ref="B41:C41"/>
    <mergeCell ref="B42:C42"/>
    <mergeCell ref="B36:C36"/>
    <mergeCell ref="B37:C37"/>
    <mergeCell ref="B39:C39"/>
    <mergeCell ref="B38:C38"/>
    <mergeCell ref="B48:C48"/>
    <mergeCell ref="B49:C49"/>
    <mergeCell ref="B50:C50"/>
    <mergeCell ref="B51:C51"/>
    <mergeCell ref="B52:C52"/>
    <mergeCell ref="B43:C43"/>
    <mergeCell ref="B44:C44"/>
    <mergeCell ref="B45:C45"/>
    <mergeCell ref="B46:C46"/>
    <mergeCell ref="B47:C47"/>
  </mergeCells>
  <printOptions horizontalCentered="1" verticalCentered="1"/>
  <pageMargins left="0.7480314960629921" right="0.7480314960629921" top="0.3937007874015748" bottom="0.5905511811023623" header="0" footer="0"/>
  <pageSetup horizontalDpi="600" verticalDpi="600" orientation="landscape" paperSize="122" scale="70" r:id="rId2"/>
  <headerFooter alignWithMargins="0">
    <oddFooter>&amp;CPágina &amp;P de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2"/>
  <sheetViews>
    <sheetView zoomScale="68" zoomScaleNormal="68" zoomScalePageLayoutView="0" workbookViewId="0" topLeftCell="A9">
      <selection activeCell="L25" sqref="L25"/>
    </sheetView>
  </sheetViews>
  <sheetFormatPr defaultColWidth="11.421875" defaultRowHeight="12.75"/>
  <cols>
    <col min="1" max="1" width="21.140625" style="1" customWidth="1"/>
    <col min="2" max="2" width="6.140625" style="1" customWidth="1"/>
    <col min="3" max="3" width="10.7109375" style="1" customWidth="1"/>
    <col min="4" max="4" width="12.140625" style="2" customWidth="1"/>
    <col min="5" max="5" width="20.7109375" style="1" customWidth="1"/>
    <col min="6" max="7" width="23.00390625" style="1" customWidth="1"/>
    <col min="8" max="8" width="19.140625" style="1" customWidth="1"/>
    <col min="9" max="9" width="12.7109375" style="1" customWidth="1"/>
    <col min="10" max="10" width="23.7109375" style="1" customWidth="1"/>
    <col min="11" max="11" width="10.421875" style="1" customWidth="1"/>
    <col min="12" max="12" width="23.57421875" style="1" customWidth="1"/>
    <col min="13" max="13" width="10.421875" style="1" customWidth="1"/>
    <col min="14" max="14" width="22.28125" style="1" customWidth="1"/>
    <col min="15" max="15" width="10.421875" style="1" customWidth="1"/>
    <col min="16" max="16" width="23.7109375" style="1" customWidth="1"/>
    <col min="17" max="17" width="13.00390625" style="1" customWidth="1"/>
    <col min="18" max="18" width="12.28125" style="1" customWidth="1"/>
    <col min="19" max="19" width="24.8515625" style="1" customWidth="1"/>
    <col min="20" max="16384" width="11.421875" style="1" customWidth="1"/>
  </cols>
  <sheetData>
    <row r="1" spans="1:21" ht="36" customHeight="1">
      <c r="A1" s="502"/>
      <c r="B1" s="502"/>
      <c r="C1" s="502"/>
      <c r="D1" s="715" t="s">
        <v>14</v>
      </c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7"/>
      <c r="Q1" s="459" t="s">
        <v>92</v>
      </c>
      <c r="R1" s="459"/>
      <c r="S1" s="459"/>
      <c r="T1" s="5"/>
      <c r="U1" s="5"/>
    </row>
    <row r="2" spans="1:21" ht="25.5" customHeight="1">
      <c r="A2" s="502"/>
      <c r="B2" s="502"/>
      <c r="C2" s="502"/>
      <c r="D2" s="718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20"/>
      <c r="Q2" s="724" t="s">
        <v>51</v>
      </c>
      <c r="R2" s="724"/>
      <c r="S2" s="724"/>
      <c r="T2" s="5"/>
      <c r="U2" s="5"/>
    </row>
    <row r="3" spans="1:21" ht="33" customHeight="1">
      <c r="A3" s="502"/>
      <c r="B3" s="502"/>
      <c r="C3" s="502"/>
      <c r="D3" s="715" t="s">
        <v>50</v>
      </c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7"/>
      <c r="Q3" s="6" t="s">
        <v>52</v>
      </c>
      <c r="R3" s="472" t="s">
        <v>67</v>
      </c>
      <c r="S3" s="472"/>
      <c r="T3" s="5"/>
      <c r="U3" s="5"/>
    </row>
    <row r="4" spans="1:21" ht="30.75" customHeight="1">
      <c r="A4" s="502"/>
      <c r="B4" s="502"/>
      <c r="C4" s="502"/>
      <c r="D4" s="718"/>
      <c r="E4" s="719"/>
      <c r="F4" s="719"/>
      <c r="G4" s="719"/>
      <c r="H4" s="719"/>
      <c r="I4" s="719"/>
      <c r="J4" s="719"/>
      <c r="K4" s="719"/>
      <c r="L4" s="719"/>
      <c r="M4" s="719"/>
      <c r="N4" s="719"/>
      <c r="O4" s="719"/>
      <c r="P4" s="720"/>
      <c r="Q4" s="6" t="str">
        <f>+'POA H.C. '!F4</f>
        <v>Versión 2</v>
      </c>
      <c r="R4" s="725">
        <f>+'POA H.C. '!G4</f>
        <v>44015</v>
      </c>
      <c r="S4" s="725"/>
      <c r="T4" s="5"/>
      <c r="U4" s="5"/>
    </row>
    <row r="5" spans="1:21" ht="21" customHeight="1">
      <c r="A5" s="697" t="s">
        <v>53</v>
      </c>
      <c r="B5" s="697"/>
      <c r="C5" s="697"/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5"/>
      <c r="U5" s="5"/>
    </row>
    <row r="6" spans="1:21" ht="21" customHeight="1">
      <c r="A6" s="697" t="s">
        <v>110</v>
      </c>
      <c r="B6" s="697"/>
      <c r="C6" s="697"/>
      <c r="D6" s="697"/>
      <c r="E6" s="697"/>
      <c r="F6" s="697"/>
      <c r="G6" s="697"/>
      <c r="H6" s="697"/>
      <c r="I6" s="697"/>
      <c r="J6" s="697"/>
      <c r="K6" s="697"/>
      <c r="L6" s="697"/>
      <c r="M6" s="697"/>
      <c r="N6" s="697"/>
      <c r="O6" s="697"/>
      <c r="P6" s="697"/>
      <c r="Q6" s="697"/>
      <c r="R6" s="697"/>
      <c r="S6" s="697"/>
      <c r="T6" s="5"/>
      <c r="U6" s="5"/>
    </row>
    <row r="7" spans="1:21" ht="21.75" customHeight="1">
      <c r="A7" s="485" t="s">
        <v>46</v>
      </c>
      <c r="B7" s="485"/>
      <c r="C7" s="485"/>
      <c r="D7" s="485"/>
      <c r="E7" s="721" t="s">
        <v>234</v>
      </c>
      <c r="F7" s="721"/>
      <c r="G7" s="721"/>
      <c r="H7" s="721"/>
      <c r="I7" s="721"/>
      <c r="J7" s="721"/>
      <c r="K7" s="721"/>
      <c r="L7" s="721"/>
      <c r="M7" s="721"/>
      <c r="N7" s="721"/>
      <c r="O7" s="721"/>
      <c r="P7" s="721"/>
      <c r="Q7" s="721"/>
      <c r="R7" s="721"/>
      <c r="S7" s="721"/>
      <c r="T7" s="5"/>
      <c r="U7" s="5"/>
    </row>
    <row r="8" spans="1:21" ht="21.75" customHeight="1">
      <c r="A8" s="485" t="s">
        <v>47</v>
      </c>
      <c r="B8" s="485"/>
      <c r="C8" s="485"/>
      <c r="D8" s="485"/>
      <c r="E8" s="722" t="s">
        <v>235</v>
      </c>
      <c r="F8" s="722"/>
      <c r="G8" s="722"/>
      <c r="H8" s="722"/>
      <c r="I8" s="722"/>
      <c r="J8" s="722"/>
      <c r="K8" s="722"/>
      <c r="L8" s="722"/>
      <c r="M8" s="722"/>
      <c r="N8" s="722"/>
      <c r="O8" s="722"/>
      <c r="P8" s="722"/>
      <c r="Q8" s="722"/>
      <c r="R8" s="722"/>
      <c r="S8" s="722"/>
      <c r="T8" s="5"/>
      <c r="U8" s="5"/>
    </row>
    <row r="9" spans="1:19" ht="21.75" customHeight="1">
      <c r="A9" s="485" t="s">
        <v>45</v>
      </c>
      <c r="B9" s="485"/>
      <c r="C9" s="485"/>
      <c r="D9" s="485"/>
      <c r="E9" s="707" t="s">
        <v>236</v>
      </c>
      <c r="F9" s="707"/>
      <c r="G9" s="707"/>
      <c r="H9" s="707"/>
      <c r="I9" s="707"/>
      <c r="J9" s="707"/>
      <c r="K9" s="707"/>
      <c r="L9" s="707"/>
      <c r="M9" s="707"/>
      <c r="N9" s="707"/>
      <c r="O9" s="707"/>
      <c r="P9" s="707"/>
      <c r="Q9" s="707"/>
      <c r="R9" s="707"/>
      <c r="S9" s="707"/>
    </row>
    <row r="10" spans="1:19" ht="21.75" customHeight="1">
      <c r="A10" s="723" t="s">
        <v>109</v>
      </c>
      <c r="B10" s="723"/>
      <c r="C10" s="723"/>
      <c r="D10" s="723"/>
      <c r="E10" s="708" t="s">
        <v>243</v>
      </c>
      <c r="F10" s="708"/>
      <c r="G10" s="708"/>
      <c r="H10" s="708"/>
      <c r="I10" s="708"/>
      <c r="J10" s="708"/>
      <c r="K10" s="708"/>
      <c r="L10" s="708"/>
      <c r="M10" s="708"/>
      <c r="N10" s="708"/>
      <c r="O10" s="708"/>
      <c r="P10" s="708"/>
      <c r="Q10" s="708"/>
      <c r="R10" s="708"/>
      <c r="S10" s="708"/>
    </row>
    <row r="11" spans="1:19" ht="12.75" customHeight="1">
      <c r="A11" s="448" t="s">
        <v>111</v>
      </c>
      <c r="B11" s="449" t="s">
        <v>97</v>
      </c>
      <c r="C11" s="449"/>
      <c r="D11" s="449"/>
      <c r="E11" s="449"/>
      <c r="F11" s="712" t="s">
        <v>71</v>
      </c>
      <c r="G11" s="712" t="s">
        <v>98</v>
      </c>
      <c r="H11" s="712" t="s">
        <v>35</v>
      </c>
      <c r="I11" s="712" t="s">
        <v>62</v>
      </c>
      <c r="J11" s="712"/>
      <c r="K11" s="712"/>
      <c r="L11" s="712"/>
      <c r="M11" s="712"/>
      <c r="N11" s="712"/>
      <c r="O11" s="712"/>
      <c r="P11" s="712"/>
      <c r="Q11" s="712"/>
      <c r="R11" s="712"/>
      <c r="S11" s="712"/>
    </row>
    <row r="12" spans="1:19" ht="12.75">
      <c r="A12" s="448"/>
      <c r="B12" s="449"/>
      <c r="C12" s="449"/>
      <c r="D12" s="449"/>
      <c r="E12" s="449"/>
      <c r="F12" s="712"/>
      <c r="G12" s="712"/>
      <c r="H12" s="712"/>
      <c r="I12" s="712"/>
      <c r="J12" s="712"/>
      <c r="K12" s="712"/>
      <c r="L12" s="712"/>
      <c r="M12" s="712"/>
      <c r="N12" s="712"/>
      <c r="O12" s="712"/>
      <c r="P12" s="712"/>
      <c r="Q12" s="712"/>
      <c r="R12" s="712"/>
      <c r="S12" s="712"/>
    </row>
    <row r="13" spans="1:19" ht="42.75" customHeight="1">
      <c r="A13" s="448"/>
      <c r="B13" s="449"/>
      <c r="C13" s="449"/>
      <c r="D13" s="449"/>
      <c r="E13" s="449"/>
      <c r="F13" s="712"/>
      <c r="G13" s="712"/>
      <c r="H13" s="712"/>
      <c r="I13" s="185" t="s">
        <v>249</v>
      </c>
      <c r="J13" s="185" t="s">
        <v>250</v>
      </c>
      <c r="K13" s="185" t="s">
        <v>251</v>
      </c>
      <c r="L13" s="185" t="s">
        <v>252</v>
      </c>
      <c r="M13" s="185" t="s">
        <v>253</v>
      </c>
      <c r="N13" s="185" t="s">
        <v>254</v>
      </c>
      <c r="O13" s="185" t="s">
        <v>255</v>
      </c>
      <c r="P13" s="185" t="s">
        <v>256</v>
      </c>
      <c r="Q13" s="712" t="s">
        <v>73</v>
      </c>
      <c r="R13" s="712"/>
      <c r="S13" s="124" t="s">
        <v>101</v>
      </c>
    </row>
    <row r="14" spans="1:19" ht="54.75" customHeight="1">
      <c r="A14" s="702" t="s">
        <v>236</v>
      </c>
      <c r="B14" s="704" t="s">
        <v>168</v>
      </c>
      <c r="C14" s="704"/>
      <c r="D14" s="704"/>
      <c r="E14" s="704"/>
      <c r="F14" s="181" t="s">
        <v>172</v>
      </c>
      <c r="G14" s="182">
        <v>1</v>
      </c>
      <c r="H14" s="181" t="s">
        <v>244</v>
      </c>
      <c r="I14" s="182">
        <v>1</v>
      </c>
      <c r="J14" s="705">
        <v>3403443720</v>
      </c>
      <c r="K14" s="182">
        <v>1</v>
      </c>
      <c r="L14" s="705">
        <f>1140689741.12161+1120000000</f>
        <v>2260689741.1216097</v>
      </c>
      <c r="M14" s="182">
        <v>1</v>
      </c>
      <c r="N14" s="705">
        <v>988333370</v>
      </c>
      <c r="O14" s="182">
        <v>1</v>
      </c>
      <c r="P14" s="705">
        <v>976836380.0952499</v>
      </c>
      <c r="Q14" s="701">
        <v>1</v>
      </c>
      <c r="R14" s="449"/>
      <c r="S14" s="709">
        <f>J14+L14+N14+P14</f>
        <v>7629303211.21686</v>
      </c>
    </row>
    <row r="15" spans="1:19" ht="51" customHeight="1">
      <c r="A15" s="703"/>
      <c r="B15" s="415" t="s">
        <v>245</v>
      </c>
      <c r="C15" s="415"/>
      <c r="D15" s="415"/>
      <c r="E15" s="415"/>
      <c r="F15" s="181" t="s">
        <v>193</v>
      </c>
      <c r="G15" s="368">
        <v>0</v>
      </c>
      <c r="H15" s="181" t="s">
        <v>244</v>
      </c>
      <c r="I15" s="368">
        <v>0</v>
      </c>
      <c r="J15" s="705"/>
      <c r="K15" s="368">
        <v>1</v>
      </c>
      <c r="L15" s="705"/>
      <c r="M15" s="368">
        <v>1</v>
      </c>
      <c r="N15" s="705"/>
      <c r="O15" s="368">
        <v>1</v>
      </c>
      <c r="P15" s="705"/>
      <c r="Q15" s="701">
        <v>1</v>
      </c>
      <c r="R15" s="449"/>
      <c r="S15" s="703"/>
    </row>
    <row r="16" spans="1:19" ht="130.5" customHeight="1">
      <c r="A16" s="703"/>
      <c r="B16" s="704" t="s">
        <v>505</v>
      </c>
      <c r="C16" s="704"/>
      <c r="D16" s="704"/>
      <c r="E16" s="704"/>
      <c r="F16" s="362" t="s">
        <v>506</v>
      </c>
      <c r="G16" s="369">
        <v>0</v>
      </c>
      <c r="H16" s="181" t="s">
        <v>244</v>
      </c>
      <c r="I16" s="369">
        <v>0.05</v>
      </c>
      <c r="J16" s="705"/>
      <c r="K16" s="363">
        <v>0.05</v>
      </c>
      <c r="L16" s="705"/>
      <c r="M16" s="363">
        <v>0</v>
      </c>
      <c r="N16" s="705"/>
      <c r="O16" s="363">
        <v>0</v>
      </c>
      <c r="P16" s="705"/>
      <c r="Q16" s="701">
        <v>0.1</v>
      </c>
      <c r="R16" s="449"/>
      <c r="S16" s="703"/>
    </row>
    <row r="17" spans="1:19" ht="39" customHeight="1">
      <c r="A17" s="703"/>
      <c r="B17" s="704" t="s">
        <v>246</v>
      </c>
      <c r="C17" s="704"/>
      <c r="D17" s="704"/>
      <c r="E17" s="704"/>
      <c r="F17" s="362" t="s">
        <v>247</v>
      </c>
      <c r="G17" s="370">
        <v>0</v>
      </c>
      <c r="H17" s="181" t="s">
        <v>248</v>
      </c>
      <c r="I17" s="370">
        <v>0</v>
      </c>
      <c r="J17" s="705"/>
      <c r="K17" s="364">
        <v>2</v>
      </c>
      <c r="L17" s="705"/>
      <c r="M17" s="364">
        <v>1</v>
      </c>
      <c r="N17" s="705"/>
      <c r="O17" s="364">
        <v>0</v>
      </c>
      <c r="P17" s="705"/>
      <c r="Q17" s="710">
        <f>I17+K17+M17+O17</f>
        <v>3</v>
      </c>
      <c r="R17" s="710"/>
      <c r="S17" s="703"/>
    </row>
    <row r="18" spans="1:19" ht="39" customHeight="1">
      <c r="A18" s="703"/>
      <c r="B18" s="415" t="s">
        <v>208</v>
      </c>
      <c r="C18" s="415"/>
      <c r="D18" s="415"/>
      <c r="E18" s="415"/>
      <c r="F18" s="181" t="s">
        <v>212</v>
      </c>
      <c r="G18" s="369">
        <v>1</v>
      </c>
      <c r="H18" s="181" t="s">
        <v>244</v>
      </c>
      <c r="I18" s="369">
        <v>1</v>
      </c>
      <c r="J18" s="705"/>
      <c r="K18" s="182">
        <v>1</v>
      </c>
      <c r="L18" s="705"/>
      <c r="M18" s="182">
        <v>1</v>
      </c>
      <c r="N18" s="705"/>
      <c r="O18" s="369">
        <v>1</v>
      </c>
      <c r="P18" s="705"/>
      <c r="Q18" s="701">
        <v>1</v>
      </c>
      <c r="R18" s="449"/>
      <c r="S18" s="703"/>
    </row>
    <row r="19" spans="1:19" ht="39" customHeight="1">
      <c r="A19" s="703"/>
      <c r="B19" s="415" t="s">
        <v>213</v>
      </c>
      <c r="C19" s="415"/>
      <c r="D19" s="415"/>
      <c r="E19" s="415"/>
      <c r="F19" s="183" t="s">
        <v>217</v>
      </c>
      <c r="G19" s="368">
        <v>1</v>
      </c>
      <c r="H19" s="181" t="s">
        <v>244</v>
      </c>
      <c r="I19" s="368">
        <v>1</v>
      </c>
      <c r="J19" s="705"/>
      <c r="K19" s="368">
        <v>1</v>
      </c>
      <c r="L19" s="705"/>
      <c r="M19" s="368">
        <v>1</v>
      </c>
      <c r="N19" s="705"/>
      <c r="O19" s="368">
        <v>1</v>
      </c>
      <c r="P19" s="705"/>
      <c r="Q19" s="701">
        <v>1</v>
      </c>
      <c r="R19" s="449"/>
      <c r="S19" s="703"/>
    </row>
    <row r="20" spans="1:19" ht="36.75" customHeight="1">
      <c r="A20" s="703"/>
      <c r="B20" s="415" t="s">
        <v>221</v>
      </c>
      <c r="C20" s="415"/>
      <c r="D20" s="415"/>
      <c r="E20" s="415"/>
      <c r="F20" s="184" t="s">
        <v>225</v>
      </c>
      <c r="G20" s="369">
        <v>1</v>
      </c>
      <c r="H20" s="181" t="s">
        <v>244</v>
      </c>
      <c r="I20" s="369">
        <v>1</v>
      </c>
      <c r="J20" s="705"/>
      <c r="K20" s="369">
        <v>1</v>
      </c>
      <c r="L20" s="705"/>
      <c r="M20" s="369">
        <v>1</v>
      </c>
      <c r="N20" s="705"/>
      <c r="O20" s="369">
        <v>1</v>
      </c>
      <c r="P20" s="705"/>
      <c r="Q20" s="701">
        <v>1</v>
      </c>
      <c r="R20" s="449"/>
      <c r="S20" s="703"/>
    </row>
    <row r="21" spans="1:19" s="5" customFormat="1" ht="43.5" customHeight="1">
      <c r="A21" s="447"/>
      <c r="B21" s="415" t="s">
        <v>227</v>
      </c>
      <c r="C21" s="415"/>
      <c r="D21" s="415"/>
      <c r="E21" s="415"/>
      <c r="F21" s="184" t="s">
        <v>232</v>
      </c>
      <c r="G21" s="368">
        <v>0</v>
      </c>
      <c r="H21" s="181" t="s">
        <v>244</v>
      </c>
      <c r="I21" s="368">
        <v>0.09</v>
      </c>
      <c r="J21" s="705"/>
      <c r="K21" s="368">
        <v>0.53</v>
      </c>
      <c r="L21" s="705"/>
      <c r="M21" s="368">
        <v>0.28</v>
      </c>
      <c r="N21" s="705"/>
      <c r="O21" s="368">
        <v>0.1</v>
      </c>
      <c r="P21" s="705"/>
      <c r="Q21" s="706">
        <f>I21+K21+M21+O21</f>
        <v>1</v>
      </c>
      <c r="R21" s="706"/>
      <c r="S21" s="447"/>
    </row>
    <row r="22" spans="1:19" s="15" customFormat="1" ht="23.25" customHeight="1">
      <c r="A22" s="711" t="s">
        <v>72</v>
      </c>
      <c r="B22" s="711"/>
      <c r="C22" s="711"/>
      <c r="D22" s="711"/>
      <c r="E22" s="711"/>
      <c r="F22" s="711"/>
      <c r="G22" s="711"/>
      <c r="H22" s="711"/>
      <c r="I22" s="121"/>
      <c r="J22" s="186">
        <f>SUM(J14)</f>
        <v>3403443720</v>
      </c>
      <c r="K22" s="121"/>
      <c r="L22" s="186">
        <v>2260689741.1216087</v>
      </c>
      <c r="M22" s="121"/>
      <c r="N22" s="186">
        <f>SUM(N14)</f>
        <v>988333370</v>
      </c>
      <c r="O22" s="121"/>
      <c r="P22" s="186">
        <f>SUM(P14)</f>
        <v>976836380.0952499</v>
      </c>
      <c r="Q22" s="713"/>
      <c r="R22" s="714"/>
      <c r="S22" s="187">
        <f>J22+L22+N22+P22</f>
        <v>7629303211.216859</v>
      </c>
    </row>
    <row r="23" spans="2:3" ht="12.75">
      <c r="B23" s="4"/>
      <c r="C23" s="4"/>
    </row>
    <row r="25" ht="12.75">
      <c r="L25" s="402"/>
    </row>
    <row r="28" spans="8:19" ht="12.75"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8:19" ht="12.75"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8:19" ht="12.75">
      <c r="H30" s="17"/>
      <c r="I30" s="17"/>
      <c r="J30" s="17"/>
      <c r="K30" s="17"/>
      <c r="L30" s="17"/>
      <c r="M30" s="17"/>
      <c r="N30" s="17"/>
      <c r="O30" s="16"/>
      <c r="P30" s="16"/>
      <c r="Q30" s="16"/>
      <c r="R30" s="16"/>
      <c r="S30" s="16"/>
    </row>
    <row r="31" spans="8:19" ht="12.75">
      <c r="H31" s="17"/>
      <c r="I31" s="17"/>
      <c r="J31" s="17"/>
      <c r="K31" s="17"/>
      <c r="L31" s="17"/>
      <c r="M31" s="17"/>
      <c r="N31" s="17"/>
      <c r="O31" s="16"/>
      <c r="P31" s="16"/>
      <c r="Q31" s="16"/>
      <c r="R31" s="16"/>
      <c r="S31" s="16"/>
    </row>
    <row r="32" spans="8:19" ht="12.75">
      <c r="H32" s="17"/>
      <c r="I32" s="17"/>
      <c r="J32" s="17"/>
      <c r="K32" s="17"/>
      <c r="L32" s="17"/>
      <c r="M32" s="17"/>
      <c r="N32" s="17"/>
      <c r="O32" s="16"/>
      <c r="P32" s="16"/>
      <c r="Q32" s="16"/>
      <c r="R32" s="16"/>
      <c r="S32" s="16"/>
    </row>
    <row r="33" spans="8:19" ht="12.75">
      <c r="H33" s="17"/>
      <c r="I33" s="17"/>
      <c r="J33" s="17"/>
      <c r="K33" s="17"/>
      <c r="L33" s="17"/>
      <c r="M33" s="17"/>
      <c r="N33" s="17"/>
      <c r="O33" s="16"/>
      <c r="P33" s="16"/>
      <c r="Q33" s="16"/>
      <c r="R33" s="16"/>
      <c r="S33" s="16"/>
    </row>
    <row r="34" spans="8:19" ht="12.75"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8:19" ht="12.75"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8:19" ht="12.75"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8:19" ht="12.75"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8:19" ht="12.75"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8:19" ht="12.75"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8:19" ht="12.75"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8:19" ht="12.75"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8:19" ht="12.75"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</sheetData>
  <sheetProtection/>
  <mergeCells count="48">
    <mergeCell ref="H11:H13"/>
    <mergeCell ref="A9:D9"/>
    <mergeCell ref="A10:D10"/>
    <mergeCell ref="D3:P4"/>
    <mergeCell ref="A1:C4"/>
    <mergeCell ref="Q2:S2"/>
    <mergeCell ref="R3:S3"/>
    <mergeCell ref="R4:S4"/>
    <mergeCell ref="Q16:R16"/>
    <mergeCell ref="A6:S6"/>
    <mergeCell ref="Q13:R13"/>
    <mergeCell ref="A11:A13"/>
    <mergeCell ref="D1:P2"/>
    <mergeCell ref="Q1:S1"/>
    <mergeCell ref="A5:S5"/>
    <mergeCell ref="E7:S7"/>
    <mergeCell ref="E8:S8"/>
    <mergeCell ref="F11:F13"/>
    <mergeCell ref="Q18:R18"/>
    <mergeCell ref="A22:H22"/>
    <mergeCell ref="I11:S12"/>
    <mergeCell ref="Q22:R22"/>
    <mergeCell ref="A7:D7"/>
    <mergeCell ref="A8:D8"/>
    <mergeCell ref="G11:G13"/>
    <mergeCell ref="B20:E20"/>
    <mergeCell ref="B16:E16"/>
    <mergeCell ref="B21:E21"/>
    <mergeCell ref="B19:E19"/>
    <mergeCell ref="Q20:R20"/>
    <mergeCell ref="Q21:R21"/>
    <mergeCell ref="E9:S9"/>
    <mergeCell ref="E10:S10"/>
    <mergeCell ref="Q14:R14"/>
    <mergeCell ref="S14:S21"/>
    <mergeCell ref="B11:E13"/>
    <mergeCell ref="Q15:R15"/>
    <mergeCell ref="Q17:R17"/>
    <mergeCell ref="Q19:R19"/>
    <mergeCell ref="A14:A21"/>
    <mergeCell ref="B14:E14"/>
    <mergeCell ref="J14:J21"/>
    <mergeCell ref="L14:L21"/>
    <mergeCell ref="N14:N21"/>
    <mergeCell ref="P14:P21"/>
    <mergeCell ref="B15:E15"/>
    <mergeCell ref="B17:E17"/>
    <mergeCell ref="B18:E18"/>
  </mergeCells>
  <printOptions horizontalCentered="1" verticalCentered="1"/>
  <pageMargins left="0.31496062992125984" right="0.52" top="0.984251968503937" bottom="0.984251968503937" header="0" footer="0"/>
  <pageSetup horizontalDpi="600" verticalDpi="600" orientation="landscape" paperSize="122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Jorge Suarez</cp:lastModifiedBy>
  <cp:lastPrinted>2016-05-03T19:32:30Z</cp:lastPrinted>
  <dcterms:created xsi:type="dcterms:W3CDTF">2009-04-02T20:41:07Z</dcterms:created>
  <dcterms:modified xsi:type="dcterms:W3CDTF">2021-11-04T08:56:44Z</dcterms:modified>
  <cp:category/>
  <cp:version/>
  <cp:contentType/>
  <cp:contentStatus/>
</cp:coreProperties>
</file>