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600" windowHeight="9000" tabRatio="777" firstSheet="2" activeTab="7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definedNames>
    <definedName name="_xlnm.Print_Area" localSheetId="2">'ABOGADOS'!$A$1:$H$27</definedName>
    <definedName name="_xlnm.Print_Area" localSheetId="3">'JUDICIALES'!$A$1:$I$34</definedName>
    <definedName name="_xlnm.Print_Area" localSheetId="6">'PAGOS'!$A$1:$H$12</definedName>
    <definedName name="_xlnm.Print_Area" localSheetId="7">'Resumen General'!$A$1:$G$27</definedName>
    <definedName name="_xlnm.Print_Area" localSheetId="1">'USUARIOS'!$A$1:$G$31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Juan Pablo Garzón Peraza</author>
  </authors>
  <commentList>
    <comment ref="C21" authorId="0">
      <text>
        <r>
          <rPr>
            <b/>
            <sz val="9"/>
            <rFont val="Tahoma"/>
            <family val="2"/>
          </rPr>
          <t>Juan Pablo Garzón Peraza:</t>
        </r>
        <r>
          <rPr>
            <sz val="9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<sst xmlns="http://schemas.openxmlformats.org/spreadsheetml/2006/main" count="271" uniqueCount="193">
  <si>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</si>
  <si>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</si>
  <si>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</si>
  <si>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</si>
  <si>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</si>
  <si>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</si>
  <si>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</si>
  <si>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</si>
  <si>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</si>
  <si>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</si>
  <si>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</si>
  <si>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</si>
  <si>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</si>
  <si>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</si>
  <si>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</si>
  <si>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</si>
  <si>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</si>
  <si>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</si>
  <si>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</si>
  <si>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</si>
  <si>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</si>
  <si>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</si>
  <si>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</si>
  <si>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</si>
  <si>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</si>
  <si>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</si>
  <si>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</si>
  <si>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</si>
  <si>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</si>
  <si>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</si>
  <si>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</si>
  <si>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</si>
  <si>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</si>
  <si>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</si>
  <si>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</si>
  <si>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</si>
  <si>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</si>
  <si>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</si>
  <si>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</si>
  <si>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</si>
  <si>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</si>
  <si>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</si>
  <si>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</si>
  <si>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</si>
  <si>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</si>
  <si>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</si>
  <si>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</si>
  <si>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</si>
  <si>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</si>
  <si>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</si>
  <si>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</si>
  <si>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</si>
  <si>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</si>
  <si>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</si>
  <si>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</si>
  <si>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</si>
  <si>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</si>
  <si>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</si>
  <si>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</si>
  <si>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</si>
  <si>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</si>
  <si>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</si>
  <si>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</si>
  <si>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</si>
  <si>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</si>
  <si>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</si>
  <si>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</si>
  <si>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</si>
  <si>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</si>
  <si>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</si>
  <si>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</si>
  <si>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</si>
  <si>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</si>
  <si>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</si>
  <si>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</si>
  <si>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</si>
  <si>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</si>
  <si>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</si>
  <si>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</si>
  <si>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</si>
  <si>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</si>
  <si>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</si>
  <si>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</si>
  <si>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</si>
  <si>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</si>
  <si>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</si>
  <si>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</si>
  <si>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</si>
  <si>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</si>
  <si>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</si>
  <si>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</si>
  <si>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</si>
  <si>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</si>
  <si>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</si>
  <si>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</si>
  <si>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</si>
  <si>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</si>
  <si>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</si>
  <si>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</si>
  <si>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</si>
  <si>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</si>
  <si>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</si>
  <si>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</si>
  <si>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</si>
  <si>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</si>
  <si>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</si>
  <si>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</si>
  <si>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</si>
  <si>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</si>
  <si>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</si>
  <si>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</si>
  <si>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</si>
  <si>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</si>
  <si>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(2) Con fecha de actuación en 2021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</si>
  <si>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</si>
  <si>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</si>
  <si>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</si>
  <si>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</si>
  <si>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</si>
  <si>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</si>
  <si>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</si>
  <si>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</si>
  <si>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</si>
  <si>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</si>
  <si>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</si>
  <si>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</si>
  <si>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</si>
  <si>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</si>
  <si>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</si>
  <si>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</si>
  <si>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</si>
  <si>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</si>
  <si>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</si>
  <si>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</si>
  <si>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</si>
  <si>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</si>
  <si>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</si>
  <si>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</si>
  <si>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</si>
  <si>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</si>
  <si>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</si>
  <si>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</si>
  <si>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</si>
  <si>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</si>
  <si>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</si>
  <si>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</si>
  <si>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</si>
  <si>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</si>
  <si>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</si>
  <si>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Abogados al 31 de diciembre de 2021</t>
  </si>
  <si>
    <t>ABOGADOS ACTIVOS AL 31-12-2021</t>
  </si>
  <si>
    <t>PROCESOS ACTIVOS AL 31 DE DICIEMBRE DE 2021</t>
  </si>
  <si>
    <t>(1) Con fecha de registro anterior al 15-12-2021</t>
  </si>
  <si>
    <t>PROCESOS TERMINADOS SEGUNDO SEMESTRE 2021</t>
  </si>
  <si>
    <t>PROCESOS TERMINADOS DURANTE SEGUNDO SEMESTRE 2021</t>
  </si>
  <si>
    <t>TERMINADOS EN EKOGUI DURANTE SEGUNDO SEMESTRE 2021 (2)</t>
  </si>
  <si>
    <t>PROCESO TERMINADOS AL 31 DE DICIEMBRE 2021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</si>
  <si>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</si>
  <si>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$29.981 millones a 31 de diciembre de 2021</t>
  </si>
  <si>
    <t>PROCESOS ACTIVOS EN CALIDAD DEMANDADO AL 31-12-2021</t>
  </si>
  <si>
    <t>PROCESOS CON CALIFICACIÓN SEGUNDO SEMESTRE 2021</t>
  </si>
  <si>
    <t>PROCESOS CON CALIFICACIÓN ANTERIOR A 30-06-2021</t>
  </si>
  <si>
    <t>(6) Solo se consideran los procesos activos - calidad demandado al 31 de DICIEMBRE de 2021 que tengan calificación de riesgo</t>
  </si>
  <si>
    <t># PROCESOS</t>
  </si>
  <si>
    <t>REGISTRO POSTERIOR AL 01/07/2021</t>
  </si>
  <si>
    <t>REGISTRO EN 2020 Y ANTERIORES</t>
  </si>
  <si>
    <t>TOTAL PREJUDICIALES TERMINADOS II SEM. 2021</t>
  </si>
  <si>
    <t>TERMINADOS ÚLTIMA ACTUACIÓN II SEM. 2021</t>
  </si>
  <si>
    <t>ARBITRAMENTOS ACTIVOS AL 31-12-2021</t>
  </si>
  <si>
    <t>TOTAL ARBITRAMENTOS TERMINADOS  AL 31-12-2021</t>
  </si>
  <si>
    <t>NOMBRE ENTIDAD</t>
  </si>
  <si>
    <t>NOMBRE Y APELLIDO JEFE CONTROL INTERNO</t>
  </si>
  <si>
    <t>Favor Diligenciar los Campos Resaltados y Revisar la Información Incompleta Antes de Remitir a la ANDJE</t>
  </si>
  <si>
    <t>Pagos enlazados al 31-12-2021</t>
  </si>
  <si>
    <t>Favor Diligenciar los campos Resaltados</t>
  </si>
  <si>
    <t>RETIRADOS EN LA ENTIDAD SEGUNDO SEMESTRE 2021</t>
  </si>
  <si>
    <t>INACTIVADOS EN EKOGUI SEGUNDO SEMESTRE 2021</t>
  </si>
  <si>
    <t>Conciliaciones Prejudiciales</t>
  </si>
  <si>
    <t>PREJUDICIALES ACTIVAS AL 31-12-2021</t>
  </si>
  <si>
    <t>PREJUDICIALES TERMINADAS SEGUNDO SEMESTRE 2021</t>
  </si>
  <si>
    <t>Procesos que se encuentran terminados</t>
  </si>
  <si>
    <t>REGISTRO ENTRE 1 DE ENERO Y 30 DE JUNIO 2021</t>
  </si>
  <si>
    <t>ALCIRA LESMES VANEGAS</t>
  </si>
  <si>
    <t>CAMILO CAMACHO</t>
  </si>
  <si>
    <t>JULLY MARCELA LEGUIZAMON GONZALEZ</t>
  </si>
  <si>
    <t>Se actualizó la información referente al rol de Secretario Técnico</t>
  </si>
  <si>
    <t>El profesional del proceso Gestión Juridica manifestó que la Corporación no maneja actuaciones que se desarrollen en tribunales
de arbitramento.</t>
  </si>
  <si>
    <t>La Corporación no ha realizado pagos de procesos judiciales a través del SIIF porque no han aplicado</t>
  </si>
  <si>
    <t>CORPORACION AUTONOMA REGIONAL DE BOYACA . CORPOBOYACA</t>
  </si>
  <si>
    <t xml:space="preserve">Se inactivo el usuario CLAUDIA MARCELA ROJAS ARRAZOLA </t>
  </si>
  <si>
    <t>Se observan 145 procesos sin calificacion de riesgo</t>
  </si>
  <si>
    <t>Se evidencia la creación de tres fichas de conciliación prejudiciales. 
Se recomienda actualizar la información de   conciliación prejudiciales y crear  las fichas que se consideren necesarias.</t>
  </si>
  <si>
    <t xml:space="preserve">Se cuenta con la asignación y actualización de todo lo concerniente a usuarios del sistema EKOGUI para la CORPORACIÓN
La Corporación ha avanzado en la asignación de responsables, en la actualización de los estados de los procesos y en general en el mejoramiento continuo del Sistema EKOGUI
Se encontraron en el Sistema EKOGUI-Procesos Judiciales un total de 145 procesos sin calificación de riesgo; por lo tanto, se recomienda actualizar la información con el fin de evitar posibles subestimaciones y/o materialización de riesgos.  (Llevar a SGI-ALMERA)
Se evidencia la creación de tres fichas de conciliación prejudiciales; sin embargo, se recomienda actualizar la información de   conciliaciones prejudiciales y crear las fichas que se consideren necesarias. (Llevar a SGI-ALMERA)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</si>
</sst>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</cellStyleXfs>
  <cellXfs count="1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0" fillId="2" borderId="9" xfId="0" applyFill="1" applyBorder="1" applyAlignment="1">
      <alignment vertical="center" wrapText="1"/>
    </xf>
    <xf numFmtId="0" fontId="2" fillId="3" borderId="12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3" xfId="0" applyBorder="1"/>
    <xf numFmtId="0" fontId="10" fillId="0" borderId="14" xfId="0" applyFont="1" applyBorder="1"/>
    <xf numFmtId="0" fontId="10" fillId="2" borderId="15" xfId="0" applyFont="1" applyFill="1" applyBorder="1"/>
    <xf numFmtId="0" fontId="0" fillId="2" borderId="16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20" xfId="0" applyFill="1" applyBorder="1" applyAlignment="1" applyProtection="1">
      <alignment wrapText="1"/>
      <protection hidden="1"/>
    </xf>
    <xf numFmtId="0" fontId="15" fillId="0" borderId="0" xfId="21">
      <alignment/>
      <protection/>
    </xf>
    <xf numFmtId="14" fontId="15" fillId="0" borderId="0" xfId="21" applyNumberFormat="1" applyFont="1">
      <alignment/>
      <protection/>
    </xf>
    <xf numFmtId="164" fontId="15" fillId="0" borderId="0" xfId="21" applyNumberFormat="1">
      <alignment/>
      <protection/>
    </xf>
    <xf numFmtId="0" fontId="15" fillId="4" borderId="0" xfId="21" applyFont="1" applyFill="1">
      <alignment/>
      <protection/>
    </xf>
    <xf numFmtId="0" fontId="15" fillId="4" borderId="0" xfId="21" applyFont="1" applyFill="1" applyBorder="1">
      <alignment/>
      <protection/>
    </xf>
    <xf numFmtId="0" fontId="15" fillId="4" borderId="0" xfId="21" applyFont="1" applyFill="1" applyAlignment="1">
      <alignment vertical="center"/>
      <protection/>
    </xf>
    <xf numFmtId="0" fontId="15" fillId="5" borderId="0" xfId="21" applyFill="1">
      <alignment/>
      <protection/>
    </xf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Fill="1" applyBorder="1" applyProtection="1">
      <protection hidden="1"/>
    </xf>
    <xf numFmtId="0" fontId="0" fillId="2" borderId="0" xfId="0" applyFill="1" applyBorder="1" applyAlignment="1">
      <alignment horizontal="center"/>
    </xf>
    <xf numFmtId="0" fontId="4" fillId="2" borderId="0" xfId="0" applyFont="1" applyFill="1" applyProtection="1"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Fill="1" applyProtection="1">
      <protection/>
    </xf>
    <xf numFmtId="0" fontId="0" fillId="0" borderId="9" xfId="0" applyBorder="1" applyAlignment="1">
      <alignment horizontal="center" vertical="center"/>
    </xf>
    <xf numFmtId="9" fontId="0" fillId="0" borderId="9" xfId="2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2" borderId="9" xfId="0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22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9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Excel Built-in Normal" xfId="21"/>
  </cellStyles>
  <dxfs count="41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USUARIOS!A1" /><Relationship Id="rId5" Type="http://schemas.openxmlformats.org/officeDocument/2006/relationships/hyperlink" Target="#ABOGADOS!A1" /><Relationship Id="rId6" Type="http://schemas.openxmlformats.org/officeDocument/2006/relationships/hyperlink" Target="#PAGOS!A1" /><Relationship Id="rId7" Type="http://schemas.openxmlformats.org/officeDocument/2006/relationships/hyperlink" Target="#'Resumen General y Validaci&#243;n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ABOGADOS!A1" /><Relationship Id="rId6" Type="http://schemas.openxmlformats.org/officeDocument/2006/relationships/hyperlink" Target="#PAG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ABOGADO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ABOGADO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BOGAD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ABOGADO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11</xdr:row>
      <xdr:rowOff>152400</xdr:rowOff>
    </xdr:from>
    <xdr:to>
      <xdr:col>9</xdr:col>
      <xdr:colOff>333375</xdr:colOff>
      <xdr:row>14</xdr:row>
      <xdr:rowOff>9525</xdr:rowOff>
    </xdr:to>
    <xdr:sp macro="" textlink="">
      <xdr:nvSpPr>
        <xdr:cNvPr id="3" name="Rectángulo: esquinas redondeadas 2">
          <a:hlinkClick r:id="rId1"/>
        </xdr:cNvPr>
        <xdr:cNvSpPr/>
      </xdr:nvSpPr>
      <xdr:spPr>
        <a:xfrm>
          <a:off x="5391150" y="2466975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609600</xdr:colOff>
      <xdr:row>12</xdr:row>
      <xdr:rowOff>9525</xdr:rowOff>
    </xdr:from>
    <xdr:to>
      <xdr:col>4</xdr:col>
      <xdr:colOff>123825</xdr:colOff>
      <xdr:row>14</xdr:row>
      <xdr:rowOff>57150</xdr:rowOff>
    </xdr:to>
    <xdr:sp macro="" textlink="">
      <xdr:nvSpPr>
        <xdr:cNvPr id="4" name="Rectángulo: esquinas redondeadas 3">
          <a:hlinkClick r:id="rId2"/>
        </xdr:cNvPr>
        <xdr:cNvSpPr/>
      </xdr:nvSpPr>
      <xdr:spPr>
        <a:xfrm>
          <a:off x="1371600" y="2514600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57150</xdr:colOff>
      <xdr:row>8</xdr:row>
      <xdr:rowOff>161925</xdr:rowOff>
    </xdr:from>
    <xdr:to>
      <xdr:col>9</xdr:col>
      <xdr:colOff>333375</xdr:colOff>
      <xdr:row>11</xdr:row>
      <xdr:rowOff>19050</xdr:rowOff>
    </xdr:to>
    <xdr:sp macro="" textlink="">
      <xdr:nvSpPr>
        <xdr:cNvPr id="5" name="Rectángulo: esquinas redondeadas 4">
          <a:hlinkClick r:id="rId3"/>
        </xdr:cNvPr>
        <xdr:cNvSpPr/>
      </xdr:nvSpPr>
      <xdr:spPr>
        <a:xfrm>
          <a:off x="5391150" y="1905000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647700</xdr:colOff>
      <xdr:row>8</xdr:row>
      <xdr:rowOff>161925</xdr:rowOff>
    </xdr:from>
    <xdr:to>
      <xdr:col>4</xdr:col>
      <xdr:colOff>161925</xdr:colOff>
      <xdr:row>11</xdr:row>
      <xdr:rowOff>19050</xdr:rowOff>
    </xdr:to>
    <xdr:sp macro="" textlink="">
      <xdr:nvSpPr>
        <xdr:cNvPr id="6" name="Rectángulo: esquinas redondeadas 5">
          <a:hlinkClick r:id="rId4"/>
        </xdr:cNvPr>
        <xdr:cNvSpPr/>
      </xdr:nvSpPr>
      <xdr:spPr>
        <a:xfrm>
          <a:off x="1409700" y="1905000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352425</xdr:colOff>
      <xdr:row>8</xdr:row>
      <xdr:rowOff>171450</xdr:rowOff>
    </xdr:from>
    <xdr:to>
      <xdr:col>6</xdr:col>
      <xdr:colOff>628650</xdr:colOff>
      <xdr:row>11</xdr:row>
      <xdr:rowOff>28575</xdr:rowOff>
    </xdr:to>
    <xdr:sp macro="" textlink="">
      <xdr:nvSpPr>
        <xdr:cNvPr id="7" name="Rectángulo: esquinas redondeadas 6">
          <a:hlinkClick r:id="rId5"/>
        </xdr:cNvPr>
        <xdr:cNvSpPr/>
      </xdr:nvSpPr>
      <xdr:spPr>
        <a:xfrm>
          <a:off x="3400425" y="1914525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333375</xdr:colOff>
      <xdr:row>11</xdr:row>
      <xdr:rowOff>171450</xdr:rowOff>
    </xdr:from>
    <xdr:to>
      <xdr:col>6</xdr:col>
      <xdr:colOff>609600</xdr:colOff>
      <xdr:row>14</xdr:row>
      <xdr:rowOff>28575</xdr:rowOff>
    </xdr:to>
    <xdr:sp macro="" textlink="">
      <xdr:nvSpPr>
        <xdr:cNvPr id="9" name="Rectángulo: esquinas redondeadas 8">
          <a:hlinkClick r:id="rId6"/>
        </xdr:cNvPr>
        <xdr:cNvSpPr/>
      </xdr:nvSpPr>
      <xdr:spPr>
        <a:xfrm>
          <a:off x="3381375" y="2486025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19050</xdr:colOff>
      <xdr:row>10</xdr:row>
      <xdr:rowOff>9525</xdr:rowOff>
    </xdr:from>
    <xdr:to>
      <xdr:col>13</xdr:col>
      <xdr:colOff>295275</xdr:colOff>
      <xdr:row>12</xdr:row>
      <xdr:rowOff>57150</xdr:rowOff>
    </xdr:to>
    <xdr:sp macro="" textlink="">
      <xdr:nvSpPr>
        <xdr:cNvPr id="10" name="Rectángulo: esquinas redondeadas 9">
          <a:hlinkClick r:id="rId7"/>
        </xdr:cNvPr>
        <xdr:cNvSpPr/>
      </xdr:nvSpPr>
      <xdr:spPr>
        <a:xfrm>
          <a:off x="8401050" y="2133600"/>
          <a:ext cx="1800225" cy="428625"/>
        </a:xfrm>
        <a:prstGeom prst="roundRect">
          <a:avLst/>
        </a:prstGeom>
        <a:solidFill>
          <a:srgbClr val="44546A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85725</xdr:rowOff>
    </xdr:from>
    <xdr:to>
      <xdr:col>4</xdr:col>
      <xdr:colOff>1533525</xdr:colOff>
      <xdr:row>3</xdr:row>
      <xdr:rowOff>47625</xdr:rowOff>
    </xdr:to>
    <xdr:sp macro="" textlink="">
      <xdr:nvSpPr>
        <xdr:cNvPr id="8" name="Rectángulo: esquinas redondeadas 7">
          <a:hlinkClick r:id="rId1"/>
        </xdr:cNvPr>
        <xdr:cNvSpPr/>
      </xdr:nvSpPr>
      <xdr:spPr>
        <a:xfrm>
          <a:off x="55245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3133725</xdr:colOff>
      <xdr:row>3</xdr:row>
      <xdr:rowOff>47625</xdr:rowOff>
    </xdr:to>
    <xdr:sp macro="" textlink="">
      <xdr:nvSpPr>
        <xdr:cNvPr id="9" name="Rectángulo: esquinas redondeadas 8">
          <a:hlinkClick r:id="rId2"/>
        </xdr:cNvPr>
        <xdr:cNvSpPr/>
      </xdr:nvSpPr>
      <xdr:spPr>
        <a:xfrm>
          <a:off x="71247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152400</xdr:colOff>
      <xdr:row>3</xdr:row>
      <xdr:rowOff>47625</xdr:rowOff>
    </xdr:to>
    <xdr:sp macro="" textlink="">
      <xdr:nvSpPr>
        <xdr:cNvPr id="10" name="Rectángulo: esquinas redondeadas 9">
          <a:hlinkClick r:id="rId3"/>
        </xdr:cNvPr>
        <xdr:cNvSpPr/>
      </xdr:nvSpPr>
      <xdr:spPr>
        <a:xfrm>
          <a:off x="2038350" y="276225"/>
          <a:ext cx="1714500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1695450</xdr:colOff>
      <xdr:row>3</xdr:row>
      <xdr:rowOff>85725</xdr:rowOff>
    </xdr:to>
    <xdr:sp macro="" textlink="">
      <xdr:nvSpPr>
        <xdr:cNvPr id="11" name="Rectángulo: esquinas redondeadas 10">
          <a:hlinkClick r:id="rId4"/>
        </xdr:cNvPr>
        <xdr:cNvSpPr/>
      </xdr:nvSpPr>
      <xdr:spPr>
        <a:xfrm>
          <a:off x="9515475" y="314325"/>
          <a:ext cx="1438275" cy="34290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1466850</xdr:colOff>
      <xdr:row>3</xdr:row>
      <xdr:rowOff>47625</xdr:rowOff>
    </xdr:to>
    <xdr:sp macro="" textlink="">
      <xdr:nvSpPr>
        <xdr:cNvPr id="12" name="Rectángulo: esquinas redondeadas 11">
          <a:hlinkClick r:id="rId5"/>
        </xdr:cNvPr>
        <xdr:cNvSpPr/>
      </xdr:nvSpPr>
      <xdr:spPr>
        <a:xfrm>
          <a:off x="4572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1762125</xdr:colOff>
      <xdr:row>3</xdr:row>
      <xdr:rowOff>47625</xdr:rowOff>
    </xdr:to>
    <xdr:sp macro="" textlink="">
      <xdr:nvSpPr>
        <xdr:cNvPr id="13" name="Rectángulo: esquinas redondeadas 12">
          <a:hlinkClick r:id="rId6"/>
        </xdr:cNvPr>
        <xdr:cNvSpPr/>
      </xdr:nvSpPr>
      <xdr:spPr>
        <a:xfrm>
          <a:off x="39243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7477125" y="409575"/>
          <a:ext cx="1771650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589597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9391650" y="419100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4286250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1924050</xdr:colOff>
      <xdr:row>2</xdr:row>
      <xdr:rowOff>28575</xdr:rowOff>
    </xdr:from>
    <xdr:to>
      <xdr:col>5</xdr:col>
      <xdr:colOff>3362325</xdr:colOff>
      <xdr:row>3</xdr:row>
      <xdr:rowOff>161925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8877300" y="3429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1752600</xdr:colOff>
      <xdr:row>3</xdr:row>
      <xdr:rowOff>171450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7267575" y="3524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1266825</xdr:colOff>
      <xdr:row>2</xdr:row>
      <xdr:rowOff>57150</xdr:rowOff>
    </xdr:from>
    <xdr:to>
      <xdr:col>2</xdr:col>
      <xdr:colOff>2705100</xdr:colOff>
      <xdr:row>4</xdr:row>
      <xdr:rowOff>0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286000" y="3714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123825</xdr:colOff>
      <xdr:row>2</xdr:row>
      <xdr:rowOff>19050</xdr:rowOff>
    </xdr:from>
    <xdr:to>
      <xdr:col>7</xdr:col>
      <xdr:colOff>809625</xdr:colOff>
      <xdr:row>3</xdr:row>
      <xdr:rowOff>152400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11315700" y="333375"/>
          <a:ext cx="1809750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1057275</xdr:colOff>
      <xdr:row>4</xdr:row>
      <xdr:rowOff>9525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638175" y="3810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2924175</xdr:colOff>
      <xdr:row>2</xdr:row>
      <xdr:rowOff>47625</xdr:rowOff>
    </xdr:from>
    <xdr:to>
      <xdr:col>5</xdr:col>
      <xdr:colOff>133350</xdr:colOff>
      <xdr:row>3</xdr:row>
      <xdr:rowOff>180975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3943350" y="361950"/>
          <a:ext cx="3143250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7658100" y="409575"/>
          <a:ext cx="2200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6076950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10001250" y="419100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4467225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6848475" y="409575"/>
          <a:ext cx="2228850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526732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9220200" y="419100"/>
          <a:ext cx="1276350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3657600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684847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526732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8429625" y="419100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3657600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9525</xdr:rowOff>
    </xdr:from>
    <xdr:to>
      <xdr:col>6</xdr:col>
      <xdr:colOff>723900</xdr:colOff>
      <xdr:row>2</xdr:row>
      <xdr:rowOff>95250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7800975" y="200025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workbookViewId="0" topLeftCell="A1"/>
  </sheetViews>
  <sheetFormatPr defaultColWidth="11.421875" defaultRowHeight="15"/>
  <sheetData>
    <row r="1" ht="15.75" thickBot="1"/>
    <row r="2" spans="2:15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>
      <c r="B3" s="95" t="s">
        <v>78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2:15" ht="23.25">
      <c r="B4" s="95" t="s">
        <v>11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2:15" ht="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5">
      <c r="B6" s="5"/>
      <c r="C6" s="98" t="s">
        <v>91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7"/>
    </row>
    <row r="7" spans="2:15" ht="15">
      <c r="B7" s="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7"/>
    </row>
    <row r="8" spans="2:15" ht="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ht="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ht="1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ht="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ht="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ht="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ht="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jixiNfD+nofjAxMPyQEwidGoTJEdLEh3lZobn98nwgWvzNuweENJPEe6u5elpVqKe6ynHDatuY0qk+QHeybBlg==" saltValue="4rftt6+0w0ym0OjRMUwWOw==" spinCount="100000" sheet="1" objects="1" scenarios="1"/>
  <mergeCells count="3">
    <mergeCell ref="B3:O3"/>
    <mergeCell ref="B4:O4"/>
    <mergeCell ref="C6:N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19"/>
  <sheetViews>
    <sheetView zoomScale="89" zoomScaleNormal="89" workbookViewId="0" topLeftCell="A1">
      <selection activeCell="H13" sqref="H13"/>
    </sheetView>
  </sheetViews>
  <sheetFormatPr defaultColWidth="11.421875" defaultRowHeight="15"/>
  <cols>
    <col min="1" max="1" width="6.421875" style="1" customWidth="1"/>
    <col min="2" max="2" width="34.28125" style="1" customWidth="1"/>
    <col min="3" max="3" width="13.28125" style="1" customWidth="1"/>
    <col min="4" max="4" width="27.421875" style="1" customWidth="1"/>
    <col min="5" max="5" width="57.421875" style="1" customWidth="1"/>
    <col min="6" max="6" width="30.140625" style="1" customWidth="1"/>
    <col min="7" max="7" width="15.7109375" style="1" customWidth="1"/>
    <col min="8" max="9" width="11.421875" style="42" customWidth="1"/>
    <col min="10" max="10" width="11.8515625" style="42" bestFit="1" customWidth="1"/>
    <col min="11" max="16384" width="11.421875" style="1" customWidth="1"/>
  </cols>
  <sheetData>
    <row r="5" ht="15.75" thickBot="1"/>
    <row r="6" spans="2:7" ht="15">
      <c r="B6" s="11"/>
      <c r="C6" s="12"/>
      <c r="D6" s="12"/>
      <c r="E6" s="12"/>
      <c r="F6" s="12"/>
      <c r="G6" s="13"/>
    </row>
    <row r="7" spans="2:20" ht="21">
      <c r="B7" s="99" t="s">
        <v>109</v>
      </c>
      <c r="C7" s="100"/>
      <c r="D7" s="100"/>
      <c r="E7" s="100"/>
      <c r="F7" s="100"/>
      <c r="G7" s="101"/>
      <c r="T7" s="1" t="s">
        <v>12</v>
      </c>
    </row>
    <row r="8" spans="2:20" ht="15.75" thickBot="1">
      <c r="B8" s="14"/>
      <c r="C8" s="15"/>
      <c r="D8" s="107" t="s">
        <v>148</v>
      </c>
      <c r="E8" s="107"/>
      <c r="F8" s="15"/>
      <c r="G8" s="16"/>
      <c r="T8" s="1" t="s">
        <v>13</v>
      </c>
    </row>
    <row r="9" spans="2:20" ht="15.75" thickBot="1">
      <c r="B9" s="105" t="s">
        <v>111</v>
      </c>
      <c r="C9" s="106"/>
      <c r="D9" s="79">
        <v>44624</v>
      </c>
      <c r="E9" s="15"/>
      <c r="F9" s="15"/>
      <c r="G9" s="16"/>
      <c r="T9" s="1" t="s">
        <v>14</v>
      </c>
    </row>
    <row r="10" spans="2:7" ht="15">
      <c r="B10" s="14" t="s">
        <v>174</v>
      </c>
      <c r="C10" s="15"/>
      <c r="D10" s="15"/>
      <c r="E10" s="15"/>
      <c r="F10" s="15"/>
      <c r="G10" s="67">
        <v>43545</v>
      </c>
    </row>
    <row r="11" spans="2:7" ht="1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79</v>
      </c>
    </row>
    <row r="12" spans="2:10" ht="15">
      <c r="B12" s="21" t="s">
        <v>0</v>
      </c>
      <c r="C12" s="78" t="s">
        <v>14</v>
      </c>
      <c r="D12" s="79"/>
      <c r="E12" s="78"/>
      <c r="F12" s="79"/>
      <c r="G12" s="80" t="str">
        <f>+IF(C12="SI",IF(F12&lt;$G$10,"DESACTUALIZADO",""),"")</f>
        <v/>
      </c>
      <c r="H12" s="42">
        <f aca="true" t="shared" si="0" ref="H12:H17">+IF(C12="N/A",1,0)</f>
        <v>1</v>
      </c>
      <c r="I12" s="42">
        <f aca="true" t="shared" si="1" ref="I12:I17">+IF(C12="Si",1,0)</f>
        <v>0</v>
      </c>
      <c r="J12" s="42">
        <f aca="true" t="shared" si="2" ref="J12:J17">+IF(C12="No",1,0)</f>
        <v>0</v>
      </c>
    </row>
    <row r="13" spans="2:10" ht="15">
      <c r="B13" s="21" t="s">
        <v>1</v>
      </c>
      <c r="C13" s="78" t="s">
        <v>14</v>
      </c>
      <c r="D13" s="78"/>
      <c r="E13" s="78"/>
      <c r="F13" s="78"/>
      <c r="G13" s="80" t="str">
        <f aca="true" t="shared" si="3" ref="G13:G17">+IF(C13="SI",IF(F13&lt;$G$10,"DESACTUALIZADO",""),"")</f>
        <v/>
      </c>
      <c r="H13" s="42">
        <f t="shared" si="0"/>
        <v>1</v>
      </c>
      <c r="I13" s="42">
        <f t="shared" si="1"/>
        <v>0</v>
      </c>
      <c r="J13" s="42">
        <f t="shared" si="2"/>
        <v>0</v>
      </c>
    </row>
    <row r="14" spans="2:20" ht="15">
      <c r="B14" s="21" t="s">
        <v>2</v>
      </c>
      <c r="C14" s="78" t="s">
        <v>14</v>
      </c>
      <c r="D14" s="78"/>
      <c r="E14" s="78"/>
      <c r="F14" s="78"/>
      <c r="G14" s="80" t="str">
        <f t="shared" si="3"/>
        <v/>
      </c>
      <c r="H14" s="42">
        <f t="shared" si="0"/>
        <v>1</v>
      </c>
      <c r="I14" s="42">
        <f t="shared" si="1"/>
        <v>0</v>
      </c>
      <c r="J14" s="42">
        <f t="shared" si="2"/>
        <v>0</v>
      </c>
      <c r="T14" s="48">
        <v>43545</v>
      </c>
    </row>
    <row r="15" spans="2:10" ht="15">
      <c r="B15" s="21" t="s">
        <v>3</v>
      </c>
      <c r="C15" s="91" t="s">
        <v>12</v>
      </c>
      <c r="D15" s="92">
        <v>42580</v>
      </c>
      <c r="E15" s="93" t="s">
        <v>182</v>
      </c>
      <c r="F15" s="94">
        <v>43725</v>
      </c>
      <c r="G15" s="80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10" ht="15">
      <c r="B16" s="21" t="s">
        <v>4</v>
      </c>
      <c r="C16" s="91" t="s">
        <v>12</v>
      </c>
      <c r="D16" s="92">
        <v>44254</v>
      </c>
      <c r="E16" s="93" t="s">
        <v>184</v>
      </c>
      <c r="F16" s="94">
        <v>44254</v>
      </c>
      <c r="G16" s="80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ht="15">
      <c r="B17" s="21" t="s">
        <v>5</v>
      </c>
      <c r="C17" s="91" t="s">
        <v>12</v>
      </c>
      <c r="D17" s="92">
        <v>43360</v>
      </c>
      <c r="E17" s="93" t="s">
        <v>183</v>
      </c>
      <c r="F17" s="94">
        <v>43845</v>
      </c>
      <c r="G17" s="80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7" ht="15">
      <c r="B18" s="14"/>
      <c r="C18" s="15"/>
      <c r="D18" s="15"/>
      <c r="E18" s="15"/>
      <c r="F18" s="15"/>
      <c r="G18" s="16"/>
    </row>
    <row r="19" spans="2:7" ht="94.5" customHeight="1" thickBot="1">
      <c r="B19" s="62" t="s">
        <v>94</v>
      </c>
      <c r="C19" s="102" t="s">
        <v>185</v>
      </c>
      <c r="D19" s="103"/>
      <c r="E19" s="103"/>
      <c r="F19" s="103"/>
      <c r="G19" s="104"/>
    </row>
  </sheetData>
  <sheetProtection algorithmName="SHA-512" hashValue="oHz1DPDdCQTfk6HZYZzwTSwYDKTppR1PbQ2tnrxwRrliyvD3HJxqgmjnxso6QvoYykx3jGyO1xZtda5gpn7FiQ==" saltValue="yDPNcT7s0avqeYJyH+YnUg==" spinCount="100000" sheet="1" objects="1" scenarios="1"/>
  <mergeCells count="4">
    <mergeCell ref="B7:G7"/>
    <mergeCell ref="C19:G19"/>
    <mergeCell ref="B9:C9"/>
    <mergeCell ref="D8:E8"/>
  </mergeCells>
  <conditionalFormatting sqref="C12:C17">
    <cfRule type="containsText" priority="12" dxfId="30" operator="containsText" text="N/A">
      <formula>NOT(ISERROR(SEARCH("N/A",C12)))</formula>
    </cfRule>
    <cfRule type="containsBlanks" priority="20" dxfId="0">
      <formula>LEN(TRIM(C12))=0</formula>
    </cfRule>
  </conditionalFormatting>
  <conditionalFormatting sqref="D9">
    <cfRule type="containsBlanks" priority="19" dxfId="0">
      <formula>LEN(TRIM(D9))=0</formula>
    </cfRule>
  </conditionalFormatting>
  <conditionalFormatting sqref="D12:F17">
    <cfRule type="containsBlanks" priority="14" dxfId="0">
      <formula>LEN(TRIM(D12))=0</formula>
    </cfRule>
  </conditionalFormatting>
  <conditionalFormatting sqref="C19">
    <cfRule type="containsBlanks" priority="13" dxfId="0">
      <formula>LEN(TRIM(C19))=0</formula>
    </cfRule>
  </conditionalFormatting>
  <conditionalFormatting sqref="D12:F12">
    <cfRule type="expression" priority="8" dxfId="30">
      <formula>OR($C$12="No",$C$12="N/A")</formula>
    </cfRule>
  </conditionalFormatting>
  <conditionalFormatting sqref="D14:F14">
    <cfRule type="expression" priority="7" dxfId="30">
      <formula>OR($C$14="No",$C$14="N/A")</formula>
    </cfRule>
  </conditionalFormatting>
  <conditionalFormatting sqref="D13:F13">
    <cfRule type="expression" priority="5" dxfId="30">
      <formula>OR($C$13="No",$C$13="N/A")</formula>
    </cfRule>
  </conditionalFormatting>
  <conditionalFormatting sqref="D15:F15">
    <cfRule type="expression" priority="3" dxfId="30">
      <formula>OR($C$15="No",$C$15="N/A")</formula>
    </cfRule>
  </conditionalFormatting>
  <conditionalFormatting sqref="D16:F16">
    <cfRule type="expression" priority="2" dxfId="30">
      <formula>OR($C$16="No",$C$16="N/A")</formula>
    </cfRule>
  </conditionalFormatting>
  <conditionalFormatting sqref="D17:F17">
    <cfRule type="expression" priority="1" dxfId="30">
      <formula>OR($C$17="No",$C$17="N/A")</formula>
    </cfRule>
  </conditionalFormatting>
  <dataValidations count="7">
    <dataValidation type="date" showInputMessage="1" showErrorMessage="1" promptTitle="Fecha de Generacion del Reporte" prompt="Indique la fecha en que genera o Elabora este reporte de Usuarios Activos  No Abogados" sqref="D9">
      <formula1>44580</formula1>
      <formula2>44642</formula2>
    </dataValidation>
    <dataValidation type="date" showInputMessage="1" showErrorMessage="1" promptTitle="Fecha de Creación del Rol" prompt="Indique la ultima fecha de Creación del Rol en Ekogui que se encuentra en estado Activo en el formato &quot;DD/MM/AAAA&quot;" errorTitle="Fecha invalida" error="La fecha debe estar entre el 01/01/2011 y el 31/03/2022" sqref="D12:D17 F12:F17">
      <formula1>40544</formula1>
      <formula2>44651</formula2>
    </dataValidation>
    <dataValidation type="list" showInputMessage="1" showErrorMessage="1" promptTitle="ROL Asignado Activo en Ekogui" prompt="Indique si tiene o no el Rol asignado Activo en el aplicativo Ekogui, un usuario puede tener uno o mas Roles Activos en el sistema. Relacionar los que apliquen. Si el Rol No aplica para su entidad Seleccione N/A" errorTitle="Campo en Blanco" error="El campo debe tener un valor asignado" sqref="C12:C17">
      <formula1>$T$7:$T$9</formula1>
    </dataValidation>
    <dataValidation showInputMessage="1" showErrorMessage="1" sqref="E12 E15 E16"/>
    <dataValidation showInputMessage="1" showErrorMessage="1" errorTitle="Fecha invalida" error="La fecha debe estar entre el 01/01/2011 y el 31/03/2022" sqref="E13"/>
    <dataValidation showInputMessage="1" showErrorMessage="1" sqref="E14"/>
    <dataValidation showInputMessage="1" showErrorMessage="1" sqref="E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showGridLines="0" zoomScale="91" zoomScaleNormal="91" workbookViewId="0" topLeftCell="A1">
      <selection activeCell="A1" sqref="A1:H27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48.140625" style="1" bestFit="1" customWidth="1"/>
    <col min="4" max="4" width="20.8515625" style="1" customWidth="1"/>
    <col min="5" max="5" width="6.28125" style="1" customWidth="1"/>
    <col min="6" max="6" width="41.421875" style="1" customWidth="1"/>
    <col min="7" max="7" width="24.140625" style="1" customWidth="1"/>
    <col min="8" max="8" width="7.28125" style="1" customWidth="1"/>
    <col min="9" max="16384" width="11.421875" style="1" customWidth="1"/>
  </cols>
  <sheetData>
    <row r="1" ht="15.75" thickBot="1"/>
    <row r="2" spans="2:8" ht="15">
      <c r="B2" s="29"/>
      <c r="C2" s="30"/>
      <c r="D2" s="30"/>
      <c r="E2" s="30"/>
      <c r="F2" s="30"/>
      <c r="G2" s="30"/>
      <c r="H2" s="31"/>
    </row>
    <row r="3" spans="2:22" ht="1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5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 t="s">
        <v>148</v>
      </c>
      <c r="E5" s="15"/>
      <c r="F5" s="15"/>
      <c r="G5" s="15"/>
      <c r="H5" s="16"/>
    </row>
    <row r="6" spans="2:8" ht="15" customHeight="1">
      <c r="B6" s="14"/>
      <c r="C6" s="27"/>
      <c r="D6" s="27"/>
      <c r="E6" s="27"/>
      <c r="G6" s="32"/>
      <c r="H6" s="33"/>
    </row>
    <row r="7" spans="2:8" ht="17.25" customHeight="1">
      <c r="B7" s="14"/>
      <c r="C7" s="20" t="s">
        <v>111</v>
      </c>
      <c r="D7" s="79">
        <v>44624</v>
      </c>
      <c r="E7" s="26"/>
      <c r="F7" s="108" t="str">
        <f>"Seleccione una muestra de "&amp;V3&amp;" abogados activos y complete la siguiente tabla"</f>
        <v>Seleccione una muestra de 5 abogados activos y complete la siguiente tabla</v>
      </c>
      <c r="G7" s="109"/>
      <c r="H7" s="33"/>
    </row>
    <row r="8" spans="2:20" ht="15">
      <c r="B8" s="14"/>
      <c r="D8" s="15"/>
      <c r="E8" s="15"/>
      <c r="F8" s="110"/>
      <c r="G8" s="111"/>
      <c r="H8" s="16"/>
      <c r="T8" s="1" t="s">
        <v>13</v>
      </c>
    </row>
    <row r="9" spans="2:20" ht="23.25">
      <c r="B9" s="14"/>
      <c r="C9" s="34" t="s">
        <v>149</v>
      </c>
      <c r="E9" s="6"/>
      <c r="F9" s="24" t="s">
        <v>98</v>
      </c>
      <c r="G9" s="24" t="s">
        <v>19</v>
      </c>
      <c r="H9" s="16"/>
      <c r="T9" s="1" t="s">
        <v>14</v>
      </c>
    </row>
    <row r="10" spans="2:8" ht="15">
      <c r="B10" s="14"/>
      <c r="C10" s="23" t="s">
        <v>150</v>
      </c>
      <c r="D10" s="23" t="s">
        <v>23</v>
      </c>
      <c r="E10" s="6"/>
      <c r="F10" s="20" t="s">
        <v>95</v>
      </c>
      <c r="G10" s="78">
        <v>4</v>
      </c>
      <c r="H10" s="16"/>
    </row>
    <row r="11" spans="2:8" ht="15">
      <c r="B11" s="14"/>
      <c r="C11" s="20" t="s">
        <v>21</v>
      </c>
      <c r="D11" s="78">
        <v>5</v>
      </c>
      <c r="E11" s="6"/>
      <c r="F11" s="20" t="s">
        <v>96</v>
      </c>
      <c r="G11" s="78">
        <v>4</v>
      </c>
      <c r="H11" s="16"/>
    </row>
    <row r="12" spans="2:8" ht="15">
      <c r="B12" s="14"/>
      <c r="C12" s="20" t="s">
        <v>22</v>
      </c>
      <c r="D12" s="78">
        <v>5</v>
      </c>
      <c r="E12" s="6"/>
      <c r="F12" s="20" t="s">
        <v>97</v>
      </c>
      <c r="G12" s="78">
        <v>5</v>
      </c>
      <c r="H12" s="16"/>
    </row>
    <row r="13" spans="2:8" ht="15">
      <c r="B13" s="14"/>
      <c r="C13" s="20" t="s">
        <v>26</v>
      </c>
      <c r="D13" s="78">
        <v>5</v>
      </c>
      <c r="E13" s="6"/>
      <c r="F13" s="52" t="s">
        <v>103</v>
      </c>
      <c r="G13" s="51"/>
      <c r="H13" s="16"/>
    </row>
    <row r="14" spans="2:8" ht="15">
      <c r="B14" s="14"/>
      <c r="E14" s="6"/>
      <c r="F14" s="53" t="s">
        <v>104</v>
      </c>
      <c r="G14" s="54"/>
      <c r="H14" s="16"/>
    </row>
    <row r="15" spans="2:8" ht="15">
      <c r="B15" s="14"/>
      <c r="E15" s="6"/>
      <c r="H15" s="16"/>
    </row>
    <row r="16" spans="2:8" ht="15">
      <c r="B16" s="14"/>
      <c r="C16" s="23" t="s">
        <v>24</v>
      </c>
      <c r="D16" s="23" t="s">
        <v>23</v>
      </c>
      <c r="E16" s="6"/>
      <c r="F16" s="24" t="s">
        <v>107</v>
      </c>
      <c r="G16" s="24" t="s">
        <v>19</v>
      </c>
      <c r="H16" s="16"/>
    </row>
    <row r="17" spans="2:8" ht="15">
      <c r="B17" s="14"/>
      <c r="C17" s="20" t="s">
        <v>175</v>
      </c>
      <c r="D17" s="78">
        <v>0</v>
      </c>
      <c r="E17" s="6"/>
      <c r="F17" s="20" t="s">
        <v>110</v>
      </c>
      <c r="G17" s="78">
        <v>2</v>
      </c>
      <c r="H17" s="16"/>
    </row>
    <row r="18" spans="2:8" ht="15">
      <c r="B18" s="14"/>
      <c r="C18" s="20" t="s">
        <v>176</v>
      </c>
      <c r="D18" s="78">
        <v>0</v>
      </c>
      <c r="E18" s="6"/>
      <c r="F18" s="49" t="s">
        <v>80</v>
      </c>
      <c r="G18" s="78">
        <v>2</v>
      </c>
      <c r="H18" s="16"/>
    </row>
    <row r="19" spans="2:8" ht="15">
      <c r="B19" s="14"/>
      <c r="C19" s="59"/>
      <c r="E19" s="6"/>
      <c r="F19" s="20" t="s">
        <v>100</v>
      </c>
      <c r="G19" s="78">
        <v>0</v>
      </c>
      <c r="H19" s="16"/>
    </row>
    <row r="20" spans="2:8" ht="15">
      <c r="B20" s="14"/>
      <c r="C20" s="59"/>
      <c r="E20" s="6"/>
      <c r="F20" s="20" t="s">
        <v>25</v>
      </c>
      <c r="G20" s="78">
        <v>0</v>
      </c>
      <c r="H20" s="16"/>
    </row>
    <row r="21" spans="2:8" ht="15">
      <c r="B21" s="14"/>
      <c r="C21" s="82" t="s">
        <v>99</v>
      </c>
      <c r="D21" s="83"/>
      <c r="E21" s="84"/>
      <c r="F21" s="86"/>
      <c r="G21" s="86"/>
      <c r="H21" s="85"/>
    </row>
    <row r="22" spans="2:8" ht="15">
      <c r="B22" s="14"/>
      <c r="C22" s="112" t="s">
        <v>189</v>
      </c>
      <c r="D22" s="113"/>
      <c r="E22" s="113"/>
      <c r="F22" s="113"/>
      <c r="G22" s="114"/>
      <c r="H22" s="16"/>
    </row>
    <row r="23" spans="2:8" ht="15">
      <c r="B23" s="14"/>
      <c r="C23" s="115"/>
      <c r="D23" s="116"/>
      <c r="E23" s="116"/>
      <c r="F23" s="116"/>
      <c r="G23" s="117"/>
      <c r="H23" s="16"/>
    </row>
    <row r="24" spans="2:8" ht="15">
      <c r="B24" s="14"/>
      <c r="C24" s="115"/>
      <c r="D24" s="116"/>
      <c r="E24" s="116"/>
      <c r="F24" s="116"/>
      <c r="G24" s="117"/>
      <c r="H24" s="16"/>
    </row>
    <row r="25" spans="2:8" ht="15">
      <c r="B25" s="14"/>
      <c r="C25" s="118"/>
      <c r="D25" s="119"/>
      <c r="E25" s="119"/>
      <c r="F25" s="119"/>
      <c r="G25" s="120"/>
      <c r="H25" s="16"/>
    </row>
    <row r="26" spans="2:8" ht="15.75" thickBot="1">
      <c r="B26" s="17"/>
      <c r="C26" s="18"/>
      <c r="D26" s="18"/>
      <c r="E26" s="18"/>
      <c r="F26" s="18"/>
      <c r="G26" s="18"/>
      <c r="H26" s="19"/>
    </row>
  </sheetData>
  <sheetProtection algorithmName="SHA-512" hashValue="9NwfrAZwwCCqcnmjgItUn7cSCgEOM1RfPFDCS/YBNTlj50wGzL24n1SYV7L5mQM/ZmVrcd+lsAQ/bVkRaodCXg==" saltValue="DgJkwMDcocd3A27+7ly9aA==" spinCount="100000" sheet="1" objects="1" scenarios="1"/>
  <mergeCells count="2">
    <mergeCell ref="F7:G8"/>
    <mergeCell ref="C22:G25"/>
  </mergeCells>
  <conditionalFormatting sqref="D11:D13">
    <cfRule type="containsBlanks" priority="13" dxfId="0">
      <formula>LEN(TRIM(D11))=0</formula>
    </cfRule>
  </conditionalFormatting>
  <conditionalFormatting sqref="C22">
    <cfRule type="containsBlanks" priority="9" dxfId="0">
      <formula>LEN(TRIM(C22))=0</formula>
    </cfRule>
  </conditionalFormatting>
  <conditionalFormatting sqref="D17:D18">
    <cfRule type="containsBlanks" priority="5" dxfId="0">
      <formula>LEN(TRIM(D17))=0</formula>
    </cfRule>
  </conditionalFormatting>
  <conditionalFormatting sqref="G10:G12">
    <cfRule type="containsBlanks" priority="4" dxfId="0">
      <formula>LEN(TRIM(G10))=0</formula>
    </cfRule>
  </conditionalFormatting>
  <conditionalFormatting sqref="G17:G20">
    <cfRule type="containsBlanks" priority="3" dxfId="0">
      <formula>LEN(TRIM(G17))=0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whole" operator="greaterThanOrEqual" showInputMessage="1" showErrorMessage="1" promptTitle="Ingrese la cantidad Solicitada" prompt="Ingrese la cantidad Solicitada" errorTitle="Numero Invalido" sqref="G17:G20 D17:D18 G10:G12 D11:D13">
      <formula1>0</formula1>
    </dataValidation>
    <dataValidation type="date" showInputMessage="1" showErrorMessage="1" promptTitle="Fecha de Generacion del Reporte " prompt="Diligenciar la fecha de Generacion de este Reporte de Usuarios Abogados Formato (DD/MM/AAAA)" errorTitle="FECHA INVALIDA" sqref="D7">
      <formula1>44580</formula1>
      <formula2>44642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34"/>
  <sheetViews>
    <sheetView showGridLines="0" workbookViewId="0" topLeftCell="A1">
      <selection activeCell="A1" sqref="A1:I34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67.421875" style="1" customWidth="1"/>
    <col min="4" max="4" width="15.28125" style="1" customWidth="1"/>
    <col min="5" max="5" width="6.28125" style="1" customWidth="1"/>
    <col min="6" max="6" width="63.57421875" style="1" customWidth="1"/>
    <col min="7" max="7" width="16.8515625" style="1" customWidth="1"/>
    <col min="8" max="8" width="15.28125" style="1" customWidth="1"/>
    <col min="9" max="9" width="7.28125" style="1" customWidth="1"/>
    <col min="10" max="16384" width="11.421875" style="1" customWidth="1"/>
  </cols>
  <sheetData>
    <row r="1" ht="15.75" thickBot="1"/>
    <row r="2" spans="2:9" ht="9" customHeight="1">
      <c r="B2" s="29"/>
      <c r="C2" s="30"/>
      <c r="D2" s="30"/>
      <c r="E2" s="30"/>
      <c r="F2" s="30"/>
      <c r="G2" s="30"/>
      <c r="H2" s="30"/>
      <c r="I2" s="31"/>
    </row>
    <row r="3" spans="2:23" ht="1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0</v>
      </c>
    </row>
    <row r="4" spans="2:9" ht="15">
      <c r="B4" s="14"/>
      <c r="C4" s="15"/>
      <c r="D4" s="15"/>
      <c r="E4" s="15"/>
      <c r="F4" s="15"/>
      <c r="G4" s="15"/>
      <c r="H4" s="15"/>
      <c r="I4" s="16"/>
    </row>
    <row r="5" spans="2:9" ht="9" customHeight="1">
      <c r="B5" s="14"/>
      <c r="C5" s="15"/>
      <c r="D5" s="15"/>
      <c r="E5" s="15"/>
      <c r="F5" s="15"/>
      <c r="G5" s="15"/>
      <c r="H5" s="15"/>
      <c r="I5" s="16"/>
    </row>
    <row r="6" spans="2:9" ht="19.5" customHeight="1">
      <c r="B6" s="14"/>
      <c r="C6" s="126" t="s">
        <v>68</v>
      </c>
      <c r="D6" s="126"/>
      <c r="E6" s="126"/>
      <c r="F6" s="126"/>
      <c r="G6" s="126"/>
      <c r="H6" s="126"/>
      <c r="I6" s="33"/>
    </row>
    <row r="7" spans="2:21" ht="15">
      <c r="B7" s="14"/>
      <c r="C7" s="15"/>
      <c r="D7" s="27"/>
      <c r="E7" s="81" t="s">
        <v>148</v>
      </c>
      <c r="F7" s="27"/>
      <c r="G7" s="15"/>
      <c r="H7" s="15"/>
      <c r="I7" s="16"/>
      <c r="U7" s="1" t="s">
        <v>13</v>
      </c>
    </row>
    <row r="8" spans="2:21" ht="15">
      <c r="B8" s="14"/>
      <c r="C8" s="23" t="s">
        <v>111</v>
      </c>
      <c r="D8" s="79">
        <v>44624</v>
      </c>
      <c r="E8" s="6"/>
      <c r="F8" s="37" t="s">
        <v>106</v>
      </c>
      <c r="G8" s="37" t="s">
        <v>18</v>
      </c>
      <c r="H8" s="15"/>
      <c r="I8" s="16"/>
      <c r="U8" s="1" t="s">
        <v>14</v>
      </c>
    </row>
    <row r="9" spans="2:9" ht="15">
      <c r="B9" s="14"/>
      <c r="E9" s="6"/>
      <c r="F9" s="20" t="s">
        <v>27</v>
      </c>
      <c r="G9" s="78">
        <v>2</v>
      </c>
      <c r="H9" s="15"/>
      <c r="I9" s="16"/>
    </row>
    <row r="10" spans="2:9" ht="15">
      <c r="B10" s="14"/>
      <c r="C10" s="23" t="s">
        <v>151</v>
      </c>
      <c r="D10" s="23" t="s">
        <v>23</v>
      </c>
      <c r="E10" s="6"/>
      <c r="F10" s="20" t="s">
        <v>60</v>
      </c>
      <c r="G10" s="78">
        <v>2</v>
      </c>
      <c r="H10" s="15"/>
      <c r="I10" s="16"/>
    </row>
    <row r="11" spans="2:9" ht="15">
      <c r="B11" s="14"/>
      <c r="C11" s="20" t="s">
        <v>28</v>
      </c>
      <c r="D11" s="78">
        <v>358</v>
      </c>
      <c r="E11" s="6"/>
      <c r="F11" s="20" t="s">
        <v>83</v>
      </c>
      <c r="G11" s="78">
        <v>2</v>
      </c>
      <c r="H11" s="15"/>
      <c r="I11" s="16"/>
    </row>
    <row r="12" spans="2:9" ht="15">
      <c r="B12" s="14"/>
      <c r="C12" s="20" t="s">
        <v>29</v>
      </c>
      <c r="D12" s="78">
        <v>358</v>
      </c>
      <c r="E12" s="6"/>
      <c r="F12" s="38" t="s">
        <v>158</v>
      </c>
      <c r="I12" s="16"/>
    </row>
    <row r="13" spans="2:9" ht="15">
      <c r="B13" s="14"/>
      <c r="C13" s="20" t="s">
        <v>81</v>
      </c>
      <c r="D13" s="78">
        <v>2</v>
      </c>
      <c r="E13" s="6"/>
      <c r="F13" s="38" t="s">
        <v>84</v>
      </c>
      <c r="I13" s="16"/>
    </row>
    <row r="14" spans="2:9" ht="15">
      <c r="B14" s="14"/>
      <c r="C14" s="38" t="s">
        <v>152</v>
      </c>
      <c r="E14" s="6"/>
      <c r="F14" s="24" t="s">
        <v>33</v>
      </c>
      <c r="G14" s="24" t="s">
        <v>23</v>
      </c>
      <c r="I14" s="16"/>
    </row>
    <row r="15" spans="2:9" ht="15">
      <c r="B15" s="14"/>
      <c r="C15" s="23" t="s">
        <v>153</v>
      </c>
      <c r="D15" s="23" t="s">
        <v>23</v>
      </c>
      <c r="E15" s="6"/>
      <c r="F15" s="20" t="s">
        <v>159</v>
      </c>
      <c r="G15" s="78">
        <v>419</v>
      </c>
      <c r="I15" s="16"/>
    </row>
    <row r="16" spans="2:9" ht="15">
      <c r="B16" s="14"/>
      <c r="C16" s="20" t="s">
        <v>154</v>
      </c>
      <c r="D16" s="78">
        <v>0</v>
      </c>
      <c r="E16" s="6"/>
      <c r="F16" s="20" t="s">
        <v>160</v>
      </c>
      <c r="G16" s="78">
        <v>4</v>
      </c>
      <c r="H16" s="15"/>
      <c r="I16" s="16"/>
    </row>
    <row r="17" spans="2:9" ht="15">
      <c r="B17" s="14"/>
      <c r="C17" s="20" t="s">
        <v>155</v>
      </c>
      <c r="D17" s="78">
        <v>0</v>
      </c>
      <c r="E17" s="6"/>
      <c r="F17" s="20" t="s">
        <v>161</v>
      </c>
      <c r="G17" s="78">
        <v>227</v>
      </c>
      <c r="H17" s="15"/>
      <c r="I17" s="16"/>
    </row>
    <row r="18" spans="2:9" ht="15">
      <c r="B18" s="14"/>
      <c r="C18" s="38" t="s">
        <v>113</v>
      </c>
      <c r="E18" s="6"/>
      <c r="F18" s="20" t="s">
        <v>35</v>
      </c>
      <c r="G18" s="78">
        <v>188</v>
      </c>
      <c r="H18" s="15"/>
      <c r="I18" s="16"/>
    </row>
    <row r="19" spans="2:9" ht="15">
      <c r="B19" s="14"/>
      <c r="E19" s="6"/>
      <c r="H19" s="15"/>
      <c r="I19" s="16"/>
    </row>
    <row r="20" spans="2:9" ht="29.25" customHeight="1">
      <c r="B20" s="14"/>
      <c r="C20" s="50" t="s">
        <v>32</v>
      </c>
      <c r="D20" s="50" t="s">
        <v>23</v>
      </c>
      <c r="E20" s="6"/>
      <c r="F20" s="39" t="s">
        <v>105</v>
      </c>
      <c r="G20" s="39" t="s">
        <v>163</v>
      </c>
      <c r="H20" s="40" t="s">
        <v>67</v>
      </c>
      <c r="I20" s="16"/>
    </row>
    <row r="21" spans="2:9" ht="15">
      <c r="B21" s="14"/>
      <c r="C21" s="60" t="s">
        <v>156</v>
      </c>
      <c r="D21" s="78">
        <v>130</v>
      </c>
      <c r="E21" s="6"/>
      <c r="F21" s="20" t="s">
        <v>63</v>
      </c>
      <c r="G21" s="78">
        <v>28</v>
      </c>
      <c r="H21" s="78">
        <v>13</v>
      </c>
      <c r="I21" s="16"/>
    </row>
    <row r="22" spans="2:9" ht="15" customHeight="1">
      <c r="B22" s="14"/>
      <c r="C22" s="60" t="s">
        <v>82</v>
      </c>
      <c r="D22" s="78">
        <v>87</v>
      </c>
      <c r="E22" s="6"/>
      <c r="F22" s="20" t="s">
        <v>64</v>
      </c>
      <c r="G22" s="78">
        <v>58</v>
      </c>
      <c r="H22" s="78">
        <v>56</v>
      </c>
      <c r="I22" s="16"/>
    </row>
    <row r="23" spans="2:9" ht="24.75">
      <c r="B23" s="14"/>
      <c r="C23" s="66" t="s">
        <v>157</v>
      </c>
      <c r="D23" s="66"/>
      <c r="E23" s="6"/>
      <c r="F23" s="20" t="s">
        <v>65</v>
      </c>
      <c r="G23" s="78">
        <v>92</v>
      </c>
      <c r="H23" s="78">
        <v>92</v>
      </c>
      <c r="I23" s="16"/>
    </row>
    <row r="24" spans="2:9" ht="15">
      <c r="B24" s="14"/>
      <c r="C24" s="15"/>
      <c r="E24" s="6"/>
      <c r="F24" s="20" t="s">
        <v>66</v>
      </c>
      <c r="G24" s="78">
        <v>53</v>
      </c>
      <c r="H24" s="78">
        <v>52</v>
      </c>
      <c r="I24" s="16"/>
    </row>
    <row r="25" spans="2:9" ht="30" customHeight="1">
      <c r="B25" s="14"/>
      <c r="C25" s="68" t="str">
        <f>"Seleccione "&amp;W3&amp;" procesos teminados en el  segundo semestre de 2021 y llene la siguiente tabla:"</f>
        <v>Seleccione 0 procesos teminados en el  segundo semestre de 2021 y llene la siguiente tabla:</v>
      </c>
      <c r="D25" s="63"/>
      <c r="E25" s="6"/>
      <c r="F25" s="127" t="s">
        <v>162</v>
      </c>
      <c r="G25" s="127"/>
      <c r="H25" s="127"/>
      <c r="I25" s="16"/>
    </row>
    <row r="26" spans="2:9" ht="15.75" thickBot="1">
      <c r="B26" s="14"/>
      <c r="C26" s="64"/>
      <c r="D26" s="65"/>
      <c r="E26" s="6"/>
      <c r="F26" s="61"/>
      <c r="G26" s="15"/>
      <c r="H26" s="15"/>
      <c r="I26" s="16"/>
    </row>
    <row r="27" spans="2:9" ht="15">
      <c r="B27" s="14"/>
      <c r="C27" s="50" t="s">
        <v>93</v>
      </c>
      <c r="D27" s="50" t="s">
        <v>23</v>
      </c>
      <c r="E27" s="6"/>
      <c r="F27" s="121" t="s">
        <v>92</v>
      </c>
      <c r="G27" s="122"/>
      <c r="H27" s="123"/>
      <c r="I27" s="16"/>
    </row>
    <row r="28" spans="2:9" ht="15">
      <c r="B28" s="14"/>
      <c r="C28" s="20" t="s">
        <v>85</v>
      </c>
      <c r="D28" s="78">
        <v>0</v>
      </c>
      <c r="E28" s="6"/>
      <c r="F28" s="124" t="s">
        <v>190</v>
      </c>
      <c r="G28" s="125"/>
      <c r="H28" s="125"/>
      <c r="I28" s="16"/>
    </row>
    <row r="29" spans="2:9" ht="15">
      <c r="B29" s="14"/>
      <c r="C29" s="20" t="s">
        <v>86</v>
      </c>
      <c r="D29" s="78">
        <v>0</v>
      </c>
      <c r="E29" s="6"/>
      <c r="F29" s="125"/>
      <c r="G29" s="125"/>
      <c r="H29" s="125"/>
      <c r="I29" s="16"/>
    </row>
    <row r="30" spans="2:9" ht="15">
      <c r="B30" s="14"/>
      <c r="C30" s="20" t="s">
        <v>87</v>
      </c>
      <c r="D30" s="78">
        <v>0</v>
      </c>
      <c r="E30" s="6"/>
      <c r="F30" s="125"/>
      <c r="G30" s="125"/>
      <c r="H30" s="125"/>
      <c r="I30" s="16"/>
    </row>
    <row r="31" spans="2:9" ht="15">
      <c r="B31" s="14"/>
      <c r="C31" s="20" t="s">
        <v>88</v>
      </c>
      <c r="D31" s="78">
        <v>0</v>
      </c>
      <c r="E31" s="6"/>
      <c r="F31" s="125"/>
      <c r="G31" s="125"/>
      <c r="H31" s="125"/>
      <c r="I31" s="16"/>
    </row>
    <row r="32" spans="2:9" ht="15">
      <c r="B32" s="14"/>
      <c r="C32" s="20" t="s">
        <v>89</v>
      </c>
      <c r="D32" s="78">
        <v>0</v>
      </c>
      <c r="E32" s="6"/>
      <c r="F32" s="125"/>
      <c r="G32" s="125"/>
      <c r="H32" s="125"/>
      <c r="I32" s="16"/>
    </row>
    <row r="33" spans="2:9" ht="15">
      <c r="B33" s="14"/>
      <c r="C33" s="15"/>
      <c r="E33" s="6"/>
      <c r="F33" s="125"/>
      <c r="G33" s="125"/>
      <c r="H33" s="125"/>
      <c r="I33" s="16"/>
    </row>
    <row r="34" spans="2:9" ht="15.75" thickBot="1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XBF41nNb+oM9W4bsjhJQYEs62RY6vNKkdxY+QBvLebA6UVCX8pT0VcHFlVGR/BBGTTD/NcRUs/vA7RtnYQti/A==" saltValue="pMXht+w1d5Ih1rsoRXgsFQ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priority="11" dxfId="0">
      <formula>LEN(TRIM(D8))=0</formula>
    </cfRule>
  </conditionalFormatting>
  <conditionalFormatting sqref="D11">
    <cfRule type="containsBlanks" priority="10" dxfId="0">
      <formula>LEN(TRIM(D11))=0</formula>
    </cfRule>
  </conditionalFormatting>
  <conditionalFormatting sqref="D12:D13">
    <cfRule type="containsBlanks" priority="9" dxfId="0">
      <formula>LEN(TRIM(D12))=0</formula>
    </cfRule>
  </conditionalFormatting>
  <conditionalFormatting sqref="D16:D17">
    <cfRule type="containsBlanks" priority="8" dxfId="0">
      <formula>LEN(TRIM(D16))=0</formula>
    </cfRule>
  </conditionalFormatting>
  <conditionalFormatting sqref="D21:D22">
    <cfRule type="containsBlanks" priority="7" dxfId="0">
      <formula>LEN(TRIM(D21))=0</formula>
    </cfRule>
  </conditionalFormatting>
  <conditionalFormatting sqref="D28:D32">
    <cfRule type="containsBlanks" priority="6" dxfId="0">
      <formula>LEN(TRIM(D28))=0</formula>
    </cfRule>
  </conditionalFormatting>
  <conditionalFormatting sqref="G9">
    <cfRule type="containsBlanks" priority="5" dxfId="0">
      <formula>LEN(TRIM(G9))=0</formula>
    </cfRule>
  </conditionalFormatting>
  <conditionalFormatting sqref="G10:G11">
    <cfRule type="containsBlanks" priority="4" dxfId="0">
      <formula>LEN(TRIM(G10))=0</formula>
    </cfRule>
  </conditionalFormatting>
  <conditionalFormatting sqref="G15:G18">
    <cfRule type="containsBlanks" priority="3" dxfId="0">
      <formula>LEN(TRIM(G15))=0</formula>
    </cfRule>
  </conditionalFormatting>
  <conditionalFormatting sqref="G21:H24">
    <cfRule type="containsBlanks" priority="2" dxfId="0">
      <formula>LEN(TRIM(G21))=0</formula>
    </cfRule>
  </conditionalFormatting>
  <conditionalFormatting sqref="F28">
    <cfRule type="containsBlanks" priority="1" dxfId="0">
      <formula>LEN(TRIM(F28))=0</formula>
    </cfRule>
  </conditionalFormatting>
  <dataValidations count="2">
    <dataValidation type="date" showInputMessage="1" showErrorMessage="1" promptTitle="Fecha de Generacion del Reporte " prompt="Diligenciar la fecha de Generacion de este Reporte de Procesos Judiciales Formato (DD/MM/AAAA)" errorTitle="FECHA INVALIDA" sqref="D8">
      <formula1>44580</formula1>
      <formula2>44642</formula2>
    </dataValidation>
    <dataValidation type="whole" operator="greaterThanOrEqual" showInputMessage="1" showErrorMessage="1" promptTitle="Ingrese la cantidad Solicitada" prompt="Ingrese la cantidad Solicitada" errorTitle="Numero Invalido" sqref="D11:D13 D16:D17 D21:D22 D28:D32 G9:G11 G15:G18 G21:H2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"/>
  <sheetViews>
    <sheetView showGridLines="0" workbookViewId="0" topLeftCell="A1">
      <selection activeCell="A1" sqref="A1:H24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50.8515625" style="1" bestFit="1" customWidth="1"/>
    <col min="4" max="4" width="20.8515625" style="1" customWidth="1"/>
    <col min="5" max="5" width="6.28125" style="1" customWidth="1"/>
    <col min="6" max="6" width="47.8515625" style="1" bestFit="1" customWidth="1"/>
    <col min="7" max="7" width="24.140625" style="1" customWidth="1"/>
    <col min="8" max="8" width="7.28125" style="1" customWidth="1"/>
    <col min="9" max="16384" width="11.421875" style="1" customWidth="1"/>
  </cols>
  <sheetData>
    <row r="1" ht="15.75" thickBot="1"/>
    <row r="2" spans="2:22" ht="15">
      <c r="B2" s="29"/>
      <c r="C2" s="30"/>
      <c r="D2" s="30"/>
      <c r="E2" s="30"/>
      <c r="F2" s="30"/>
      <c r="G2" s="30"/>
      <c r="H2" s="31"/>
      <c r="V2" s="1">
        <f>+D13+D14</f>
        <v>0</v>
      </c>
    </row>
    <row r="3" spans="2:22" ht="1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0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8" ht="15" customHeight="1">
      <c r="B6" s="14"/>
      <c r="C6" s="27"/>
      <c r="D6" s="27"/>
      <c r="E6" s="27"/>
      <c r="G6" s="32"/>
      <c r="H6" s="33"/>
    </row>
    <row r="7" spans="2:8" ht="23.25">
      <c r="B7" s="14"/>
      <c r="C7" s="126" t="s">
        <v>177</v>
      </c>
      <c r="D7" s="126"/>
      <c r="E7" s="126"/>
      <c r="F7" s="126"/>
      <c r="G7" s="126"/>
      <c r="H7" s="33"/>
    </row>
    <row r="8" spans="2:20" ht="15">
      <c r="B8" s="14"/>
      <c r="C8" s="15"/>
      <c r="D8" s="15"/>
      <c r="E8" s="89" t="s">
        <v>148</v>
      </c>
      <c r="H8" s="16"/>
      <c r="T8" s="1" t="s">
        <v>13</v>
      </c>
    </row>
    <row r="9" spans="2:20" ht="15" customHeight="1">
      <c r="B9" s="14"/>
      <c r="C9" s="23" t="s">
        <v>178</v>
      </c>
      <c r="D9" s="23" t="s">
        <v>23</v>
      </c>
      <c r="E9" s="6"/>
      <c r="F9" s="108" t="str">
        <f>"Seleccione una muestra de "&amp;V3&amp;" prejudiciales activos registrados antes de 1 de julio de 2021 y complete la siguiente tabla"</f>
        <v>Seleccione una muestra de 0 prejudiciales activos registrados antes de 1 de julio de 2021 y complete la siguiente tabla</v>
      </c>
      <c r="G9" s="109"/>
      <c r="H9" s="16"/>
      <c r="T9" s="1" t="s">
        <v>14</v>
      </c>
    </row>
    <row r="10" spans="2:8" ht="15">
      <c r="B10" s="14"/>
      <c r="C10" s="20" t="s">
        <v>54</v>
      </c>
      <c r="D10" s="78">
        <v>37</v>
      </c>
      <c r="E10" s="6"/>
      <c r="F10" s="110"/>
      <c r="G10" s="111"/>
      <c r="H10" s="16"/>
    </row>
    <row r="11" spans="2:8" ht="15">
      <c r="B11" s="14"/>
      <c r="C11" s="20" t="s">
        <v>55</v>
      </c>
      <c r="D11" s="78">
        <v>0</v>
      </c>
      <c r="E11" s="6"/>
      <c r="F11" s="24" t="s">
        <v>32</v>
      </c>
      <c r="G11" s="24" t="s">
        <v>57</v>
      </c>
      <c r="H11" s="16"/>
    </row>
    <row r="12" spans="2:8" ht="15">
      <c r="B12" s="14"/>
      <c r="C12" s="20" t="s">
        <v>164</v>
      </c>
      <c r="D12" s="78">
        <v>0</v>
      </c>
      <c r="E12" s="6"/>
      <c r="F12" s="36" t="s">
        <v>58</v>
      </c>
      <c r="G12" s="78">
        <v>0</v>
      </c>
      <c r="H12" s="16"/>
    </row>
    <row r="13" spans="2:8" ht="15">
      <c r="B13" s="14"/>
      <c r="C13" s="20" t="s">
        <v>181</v>
      </c>
      <c r="D13" s="78">
        <v>0</v>
      </c>
      <c r="E13" s="6"/>
      <c r="F13" s="20" t="s">
        <v>180</v>
      </c>
      <c r="G13" s="78">
        <v>0</v>
      </c>
      <c r="H13" s="16"/>
    </row>
    <row r="14" spans="2:8" ht="15">
      <c r="B14" s="14"/>
      <c r="C14" s="20" t="s">
        <v>165</v>
      </c>
      <c r="D14" s="78">
        <v>0</v>
      </c>
      <c r="E14" s="6"/>
      <c r="F14"/>
      <c r="G14"/>
      <c r="H14" s="16"/>
    </row>
    <row r="15" spans="2:8" ht="15">
      <c r="B15" s="14"/>
      <c r="E15" s="6"/>
      <c r="F15"/>
      <c r="G15"/>
      <c r="H15" s="16"/>
    </row>
    <row r="16" spans="2:8" ht="15">
      <c r="B16" s="14"/>
      <c r="C16" s="23" t="s">
        <v>179</v>
      </c>
      <c r="D16" s="23" t="s">
        <v>23</v>
      </c>
      <c r="E16" s="6"/>
      <c r="F16" s="128" t="s">
        <v>92</v>
      </c>
      <c r="G16" s="128"/>
      <c r="H16" s="16"/>
    </row>
    <row r="17" spans="2:8" ht="15">
      <c r="B17" s="14"/>
      <c r="C17" s="20" t="s">
        <v>166</v>
      </c>
      <c r="D17" s="78">
        <v>0</v>
      </c>
      <c r="E17" s="6"/>
      <c r="F17" s="124" t="s">
        <v>191</v>
      </c>
      <c r="G17" s="125"/>
      <c r="H17" s="16"/>
    </row>
    <row r="18" spans="2:8" ht="15">
      <c r="B18" s="14"/>
      <c r="C18" s="20" t="s">
        <v>167</v>
      </c>
      <c r="D18" s="78">
        <v>0</v>
      </c>
      <c r="E18" s="6"/>
      <c r="F18" s="125"/>
      <c r="G18" s="125"/>
      <c r="H18" s="16"/>
    </row>
    <row r="19" spans="2:8" ht="15">
      <c r="B19" s="14"/>
      <c r="C19"/>
      <c r="D19"/>
      <c r="E19" s="6"/>
      <c r="F19" s="125"/>
      <c r="G19" s="125"/>
      <c r="H19" s="16"/>
    </row>
    <row r="20" spans="2:8" ht="15">
      <c r="B20" s="14"/>
      <c r="C20"/>
      <c r="D20"/>
      <c r="E20" s="6"/>
      <c r="F20" s="125"/>
      <c r="G20" s="125"/>
      <c r="H20" s="16"/>
    </row>
    <row r="21" spans="2:8" ht="15">
      <c r="B21" s="14"/>
      <c r="E21" s="6"/>
      <c r="F21" s="125"/>
      <c r="G21" s="125"/>
      <c r="H21" s="16"/>
    </row>
    <row r="22" spans="2:8" ht="15">
      <c r="B22" s="14"/>
      <c r="C22" s="15"/>
      <c r="D22" s="15"/>
      <c r="E22" s="6"/>
      <c r="F22" s="125"/>
      <c r="G22" s="125"/>
      <c r="H22" s="16"/>
    </row>
    <row r="23" spans="2:8" ht="15.75" thickBot="1">
      <c r="B23" s="17"/>
      <c r="C23" s="18"/>
      <c r="D23" s="18"/>
      <c r="E23" s="18"/>
      <c r="F23" s="18"/>
      <c r="G23" s="18"/>
      <c r="H23" s="19"/>
    </row>
  </sheetData>
  <sheetProtection algorithmName="SHA-512" hashValue="RTxvkA/X6xl2+KfdbiHdJ6sbvecern8CNICPPfFAOQJxypM+eH9yXKnnLB3GHhoPJhALHrzKXVh8l3sCPJ2Idw==" saltValue="3APmjS7xF8RN9CH5Y9wtNw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priority="4" dxfId="0">
      <formula>LEN(TRIM(D10))=0</formula>
    </cfRule>
  </conditionalFormatting>
  <conditionalFormatting sqref="D17:D18">
    <cfRule type="containsBlanks" priority="3" dxfId="0">
      <formula>LEN(TRIM(D17))=0</formula>
    </cfRule>
  </conditionalFormatting>
  <conditionalFormatting sqref="G12:G13">
    <cfRule type="containsBlanks" priority="2" dxfId="0">
      <formula>LEN(TRIM(G12))=0</formula>
    </cfRule>
  </conditionalFormatting>
  <conditionalFormatting sqref="F17">
    <cfRule type="containsBlanks" priority="1" dxfId="0">
      <formula>LEN(TRIM(F17))=0</formula>
    </cfRule>
  </conditionalFormatting>
  <dataValidations count="1">
    <dataValidation type="whole" operator="greaterThanOrEqual" showInputMessage="1" showErrorMessage="1" promptTitle="Ingrese la cantidad Solicitada" prompt="Ingrese la cantidad Solicitada" errorTitle="Numero Invalido" sqref="D10:D14 D17:D18 G12:G13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"/>
  <sheetViews>
    <sheetView showGridLines="0" workbookViewId="0" topLeftCell="A1">
      <selection activeCell="A1" sqref="A1:H19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38.7109375" style="1" bestFit="1" customWidth="1"/>
    <col min="4" max="4" width="20.8515625" style="1" customWidth="1"/>
    <col min="5" max="5" width="6.28125" style="1" customWidth="1"/>
    <col min="6" max="6" width="48.28125" style="1" bestFit="1" customWidth="1"/>
    <col min="7" max="7" width="21.7109375" style="1" customWidth="1"/>
    <col min="8" max="8" width="7.28125" style="1" customWidth="1"/>
    <col min="9" max="16384" width="11.421875" style="1" customWidth="1"/>
  </cols>
  <sheetData>
    <row r="1" ht="15.75" thickBot="1"/>
    <row r="2" spans="2:8" ht="15">
      <c r="B2" s="29"/>
      <c r="C2" s="30"/>
      <c r="D2" s="30"/>
      <c r="E2" s="30"/>
      <c r="F2" s="30"/>
      <c r="G2" s="30"/>
      <c r="H2" s="31"/>
    </row>
    <row r="3" spans="2:22" ht="1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8" ht="36.75" customHeight="1">
      <c r="B6" s="14"/>
      <c r="C6" s="34" t="s">
        <v>70</v>
      </c>
      <c r="D6" s="35"/>
      <c r="E6" s="26"/>
      <c r="F6"/>
      <c r="G6"/>
      <c r="H6" s="33"/>
    </row>
    <row r="7" spans="2:20" ht="15">
      <c r="B7" s="14"/>
      <c r="C7" s="15" t="s">
        <v>148</v>
      </c>
      <c r="D7" s="15"/>
      <c r="E7" s="15"/>
      <c r="F7"/>
      <c r="G7"/>
      <c r="H7" s="16"/>
      <c r="T7" s="1" t="s">
        <v>13</v>
      </c>
    </row>
    <row r="8" spans="2:20" ht="15">
      <c r="B8" s="14"/>
      <c r="C8" s="23" t="s">
        <v>70</v>
      </c>
      <c r="D8" s="23" t="s">
        <v>23</v>
      </c>
      <c r="E8" s="6"/>
      <c r="F8" s="23" t="s">
        <v>70</v>
      </c>
      <c r="G8" s="23" t="s">
        <v>23</v>
      </c>
      <c r="H8" s="16"/>
      <c r="T8" s="1" t="s">
        <v>14</v>
      </c>
    </row>
    <row r="9" spans="2:8" ht="15">
      <c r="B9" s="14"/>
      <c r="C9" s="20" t="s">
        <v>168</v>
      </c>
      <c r="D9" s="78">
        <v>0</v>
      </c>
      <c r="E9" s="6"/>
      <c r="F9" s="20" t="s">
        <v>169</v>
      </c>
      <c r="G9" s="78">
        <v>0</v>
      </c>
      <c r="H9" s="16"/>
    </row>
    <row r="10" spans="2:8" ht="15">
      <c r="B10" s="14"/>
      <c r="C10" s="20" t="s">
        <v>72</v>
      </c>
      <c r="D10" s="78">
        <v>0</v>
      </c>
      <c r="E10" s="6"/>
      <c r="F10" s="20" t="s">
        <v>90</v>
      </c>
      <c r="G10" s="78">
        <v>0</v>
      </c>
      <c r="H10" s="16"/>
    </row>
    <row r="11" spans="2:8" ht="15">
      <c r="B11" s="14"/>
      <c r="C11" s="15"/>
      <c r="D11" s="55"/>
      <c r="E11" s="6"/>
      <c r="F11" s="15"/>
      <c r="G11" s="56"/>
      <c r="H11" s="16"/>
    </row>
    <row r="12" spans="2:20" ht="15">
      <c r="B12" s="14"/>
      <c r="C12" s="57" t="s">
        <v>94</v>
      </c>
      <c r="D12" s="55"/>
      <c r="E12" s="6"/>
      <c r="F12" s="15"/>
      <c r="G12" s="56"/>
      <c r="H12" s="16"/>
      <c r="T12" s="1">
        <f>IF(D9="",0,1)</f>
        <v>1</v>
      </c>
    </row>
    <row r="13" spans="2:8" ht="15">
      <c r="B13" s="14"/>
      <c r="C13" s="129" t="s">
        <v>186</v>
      </c>
      <c r="D13" s="113"/>
      <c r="E13" s="113"/>
      <c r="F13" s="113"/>
      <c r="G13" s="114"/>
      <c r="H13" s="16"/>
    </row>
    <row r="14" spans="2:8" ht="15">
      <c r="B14" s="14"/>
      <c r="C14" s="115"/>
      <c r="D14" s="116"/>
      <c r="E14" s="116"/>
      <c r="F14" s="116"/>
      <c r="G14" s="117"/>
      <c r="H14" s="16"/>
    </row>
    <row r="15" spans="2:8" ht="15">
      <c r="B15" s="14"/>
      <c r="C15" s="115"/>
      <c r="D15" s="116"/>
      <c r="E15" s="116"/>
      <c r="F15" s="116"/>
      <c r="G15" s="117"/>
      <c r="H15" s="16"/>
    </row>
    <row r="16" spans="2:20" ht="15">
      <c r="B16" s="14"/>
      <c r="C16" s="118"/>
      <c r="D16" s="119"/>
      <c r="E16" s="119"/>
      <c r="F16" s="119"/>
      <c r="G16" s="120"/>
      <c r="H16" s="16"/>
      <c r="T16" s="1">
        <f>IF(G9="",0,1)</f>
        <v>1</v>
      </c>
    </row>
    <row r="17" spans="2:20" ht="15.75" thickBot="1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6ZcsWdIGr0G8GN+aSGf97CECkSNgVAzqC6t9ixF98PlLneYYyrSdMnHt56kYG6UzNYLxxm5cHQZZfeu+4m80kQ==" saltValue="3tqLDwW1B4WLnP5vNc8k0w==" spinCount="100000" sheet="1"/>
  <mergeCells count="1">
    <mergeCell ref="C13:G16"/>
  </mergeCells>
  <conditionalFormatting sqref="C13">
    <cfRule type="containsBlanks" priority="3" dxfId="0">
      <formula>LEN(TRIM(C13))=0</formula>
    </cfRule>
  </conditionalFormatting>
  <conditionalFormatting sqref="D9:D10">
    <cfRule type="containsBlanks" priority="2" dxfId="0">
      <formula>LEN(TRIM(D9))=0</formula>
    </cfRule>
  </conditionalFormatting>
  <conditionalFormatting sqref="G9:G10">
    <cfRule type="containsBlanks" priority="1" dxfId="0">
      <formula>LEN(TRIM(G9))=0</formula>
    </cfRule>
  </conditionalFormatting>
  <dataValidations count="1">
    <dataValidation type="whole" operator="greaterThanOrEqual" showInputMessage="1" showErrorMessage="1" promptTitle="Ingrese la cantidad Solicitada" prompt="Ingrese la cantidad Solicitada" errorTitle="Numero Invalido" sqref="D9:D10 G9:G10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"/>
  <sheetViews>
    <sheetView showGridLines="0" workbookViewId="0" topLeftCell="A1">
      <selection activeCell="A1" sqref="A1:H12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38.7109375" style="1" bestFit="1" customWidth="1"/>
    <col min="4" max="4" width="20.8515625" style="1" customWidth="1"/>
    <col min="5" max="5" width="6.28125" style="1" customWidth="1"/>
    <col min="6" max="6" width="36.421875" style="1" customWidth="1"/>
    <col min="7" max="7" width="24.140625" style="1" customWidth="1"/>
    <col min="8" max="8" width="7.28125" style="1" customWidth="1"/>
    <col min="9" max="16384" width="11.421875" style="1" customWidth="1"/>
  </cols>
  <sheetData>
    <row r="1" ht="15.75" thickBot="1"/>
    <row r="2" spans="2:8" ht="15">
      <c r="B2" s="29"/>
      <c r="C2" s="30"/>
      <c r="D2" s="30"/>
      <c r="E2" s="30"/>
      <c r="F2" s="30"/>
      <c r="G2" s="30"/>
      <c r="H2" s="31"/>
    </row>
    <row r="3" spans="2:22" ht="1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20" ht="21.75" customHeight="1">
      <c r="B6" s="14"/>
      <c r="C6" s="126" t="s">
        <v>8</v>
      </c>
      <c r="D6" s="126"/>
      <c r="E6" s="26"/>
      <c r="F6"/>
      <c r="G6"/>
      <c r="H6" s="33"/>
      <c r="T6" s="1" t="s">
        <v>12</v>
      </c>
    </row>
    <row r="7" spans="2:20" ht="15">
      <c r="B7" s="14"/>
      <c r="C7" s="15" t="s">
        <v>148</v>
      </c>
      <c r="D7" s="15"/>
      <c r="E7" s="15"/>
      <c r="F7" s="58" t="s">
        <v>94</v>
      </c>
      <c r="G7"/>
      <c r="H7" s="16"/>
      <c r="T7" s="1" t="s">
        <v>13</v>
      </c>
    </row>
    <row r="8" spans="2:20" ht="15">
      <c r="B8" s="14"/>
      <c r="C8" s="23" t="s">
        <v>31</v>
      </c>
      <c r="D8" s="23" t="s">
        <v>23</v>
      </c>
      <c r="E8" s="6"/>
      <c r="F8" s="112" t="s">
        <v>187</v>
      </c>
      <c r="G8" s="114"/>
      <c r="H8" s="16"/>
      <c r="T8" s="1" t="s">
        <v>14</v>
      </c>
    </row>
    <row r="9" spans="2:8" ht="15">
      <c r="B9" s="14"/>
      <c r="C9" s="20" t="s">
        <v>74</v>
      </c>
      <c r="D9" s="78" t="s">
        <v>13</v>
      </c>
      <c r="E9" s="6"/>
      <c r="F9" s="115"/>
      <c r="G9" s="117"/>
      <c r="H9" s="16"/>
    </row>
    <row r="10" spans="2:8" ht="15">
      <c r="B10" s="14"/>
      <c r="C10" s="20" t="s">
        <v>173</v>
      </c>
      <c r="D10" s="78">
        <v>0</v>
      </c>
      <c r="E10" s="6"/>
      <c r="F10" s="118"/>
      <c r="G10" s="120"/>
      <c r="H10" s="16"/>
    </row>
    <row r="11" spans="2:8" ht="15.75" thickBot="1">
      <c r="B11" s="17"/>
      <c r="C11" s="18"/>
      <c r="D11" s="18"/>
      <c r="E11" s="18"/>
      <c r="F11" s="18"/>
      <c r="G11" s="18"/>
      <c r="H11" s="19"/>
    </row>
  </sheetData>
  <sheetProtection algorithmName="SHA-512" hashValue="f23xZ8ZGez4/ugrRSeNHNSFC5P6zK3PlnV1v5jm/nMY208v20MkKx1TkUjozEjkoZyWA5UKJDdR01qKLB0dGmA==" saltValue="OkVslLPAPPXMYR5Z1l05zA==" spinCount="100000" sheet="1"/>
  <mergeCells count="2">
    <mergeCell ref="C6:D6"/>
    <mergeCell ref="F8:G10"/>
  </mergeCells>
  <conditionalFormatting sqref="D10">
    <cfRule type="containsBlanks" priority="3" dxfId="0">
      <formula>LEN(TRIM(D10))=0</formula>
    </cfRule>
  </conditionalFormatting>
  <conditionalFormatting sqref="D9">
    <cfRule type="containsBlanks" priority="2" dxfId="0">
      <formula>LEN(TRIM(D9))=0</formula>
    </cfRule>
  </conditionalFormatting>
  <conditionalFormatting sqref="F8">
    <cfRule type="containsBlanks" priority="1" dxfId="0">
      <formula>LEN(TRIM(F8))=0</formula>
    </cfRule>
  </conditionalFormatting>
  <dataValidations count="2">
    <dataValidation type="list" showInputMessage="1" showErrorMessage="1" promptTitle="Gestiona o No Pagos" prompt="Indique si su entidad Gestiona o No pagos o reliza Informes a traves de SIIF" sqref="D9">
      <formula1>$T$6:$T$7</formula1>
    </dataValidation>
    <dataValidation type="whole" operator="greaterThanOrEqual" showInputMessage="1" showErrorMessage="1" promptTitle="Ingrese la cantidad Solicitada" prompt="Ingrese la cantidad Solicitada" errorTitle="Numero Invalido" sqref="D10">
      <formula1>0</formula1>
    </dataValidation>
  </dataValidations>
  <printOptions/>
  <pageMargins left="0.7" right="0.7" top="0.75" bottom="0.75" header="0.3" footer="0.3"/>
  <pageSetup horizontalDpi="600" verticalDpi="600" orientation="landscape" paperSize="11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abSelected="1" workbookViewId="0" topLeftCell="A1">
      <selection activeCell="A1" sqref="A1:G27"/>
    </sheetView>
  </sheetViews>
  <sheetFormatPr defaultColWidth="11.421875" defaultRowHeight="15"/>
  <cols>
    <col min="2" max="2" width="42.7109375" style="0" customWidth="1"/>
    <col min="3" max="3" width="14.57421875" style="0" bestFit="1" customWidth="1"/>
    <col min="5" max="5" width="33.00390625" style="0" bestFit="1" customWidth="1"/>
    <col min="6" max="6" width="14.57421875" style="0" bestFit="1" customWidth="1"/>
  </cols>
  <sheetData>
    <row r="2" spans="2:13" ht="18.75">
      <c r="B2" s="131" t="s">
        <v>10</v>
      </c>
      <c r="C2" s="131"/>
      <c r="D2" s="131"/>
      <c r="E2" s="131"/>
      <c r="F2" s="131"/>
      <c r="G2" s="131"/>
      <c r="H2" s="46"/>
      <c r="I2" s="46"/>
      <c r="J2" s="46"/>
      <c r="K2" s="46"/>
      <c r="L2" s="46"/>
      <c r="M2" s="47"/>
    </row>
    <row r="3" spans="2:13" ht="18.75">
      <c r="B3" s="131" t="s">
        <v>11</v>
      </c>
      <c r="C3" s="131"/>
      <c r="D3" s="131"/>
      <c r="E3" s="131"/>
      <c r="F3" s="131"/>
      <c r="G3" s="131"/>
      <c r="H3" s="46"/>
      <c r="I3" s="46"/>
      <c r="J3" s="46"/>
      <c r="K3" s="46"/>
      <c r="L3" s="46"/>
      <c r="M3" s="47"/>
    </row>
    <row r="4" spans="2:13" ht="23.25">
      <c r="B4" s="41"/>
      <c r="C4" s="90"/>
      <c r="D4" s="90" t="s">
        <v>172</v>
      </c>
      <c r="E4" s="41"/>
      <c r="F4" s="41"/>
      <c r="G4" s="41"/>
      <c r="H4" s="41"/>
      <c r="I4" s="41"/>
      <c r="J4" s="41"/>
      <c r="K4" s="41"/>
      <c r="L4" s="41"/>
      <c r="M4" s="41"/>
    </row>
    <row r="5" spans="2:10" ht="15.75" thickBot="1">
      <c r="B5" t="s">
        <v>170</v>
      </c>
      <c r="C5" s="130" t="s">
        <v>188</v>
      </c>
      <c r="D5" s="130"/>
      <c r="E5" s="130"/>
      <c r="F5" s="130"/>
      <c r="G5" s="130"/>
      <c r="H5" s="6"/>
      <c r="I5" s="6"/>
      <c r="J5" s="6"/>
    </row>
    <row r="6" spans="2:10" ht="15.75" thickBot="1">
      <c r="B6" t="s">
        <v>171</v>
      </c>
      <c r="C6" s="130" t="s">
        <v>182</v>
      </c>
      <c r="D6" s="130"/>
      <c r="E6" s="130"/>
      <c r="F6" s="130"/>
      <c r="G6" s="130"/>
      <c r="H6" s="45"/>
      <c r="I6" s="45"/>
      <c r="J6" s="45"/>
    </row>
    <row r="7" spans="8:10" ht="15">
      <c r="H7" s="6"/>
      <c r="I7" s="6"/>
      <c r="J7" s="6"/>
    </row>
    <row r="8" spans="2:6" ht="15">
      <c r="B8" t="s">
        <v>38</v>
      </c>
      <c r="C8" s="44" t="str">
        <f>+IF(SUM(USUARIOS!I12:J17)=0,"Falta diligenciar","")</f>
        <v/>
      </c>
      <c r="E8" t="s">
        <v>77</v>
      </c>
      <c r="F8" s="44" t="str">
        <f>+IF(PREJUDICIALES!$D$10="","Falta  actualizar","")</f>
        <v/>
      </c>
    </row>
    <row r="9" spans="2:6" ht="15">
      <c r="B9" s="43" t="s">
        <v>41</v>
      </c>
      <c r="C9" s="88">
        <f>+SUM(USUARIOS!I12:I17)/(6-SUM(USUARIOS!H12:H17))</f>
        <v>1</v>
      </c>
      <c r="E9" s="43" t="s">
        <v>46</v>
      </c>
      <c r="F9" s="87">
        <f>+PREJUDICIALES!$D$11</f>
        <v>0</v>
      </c>
    </row>
    <row r="10" spans="2:6" ht="15">
      <c r="B10" s="43" t="s">
        <v>39</v>
      </c>
      <c r="C10" s="87">
        <f>+ABOGADOS!$D$12+SUM(USUARIOS!I12:I17)</f>
        <v>8</v>
      </c>
      <c r="E10" s="43" t="s">
        <v>44</v>
      </c>
      <c r="F10" s="88">
        <f>_xlfn.IFERROR(PREJUDICIALES!$D$11/PREJUDICIALES!$D$10,"")</f>
        <v>0</v>
      </c>
    </row>
    <row r="11" spans="2:6" ht="15">
      <c r="B11" s="43" t="s">
        <v>9</v>
      </c>
      <c r="C11" s="87" t="s">
        <v>108</v>
      </c>
      <c r="E11" s="43" t="s">
        <v>47</v>
      </c>
      <c r="F11" s="88" t="str">
        <f>_xlfn.IFERROR(PREJUDICIALES!$G$13/PREJUDICIALES!$V$3,"")</f>
        <v/>
      </c>
    </row>
    <row r="12" spans="2:3" ht="15">
      <c r="B12" s="43" t="s">
        <v>40</v>
      </c>
      <c r="C12" s="88">
        <f>_xlfn.IFERROR((ABOGADOS!$G$17+ABOGADOS!$G$18+ABOGADOS!$G$19*0.5)/ABOGADOS!D12,"")</f>
        <v>0.8</v>
      </c>
    </row>
    <row r="13" spans="5:6" ht="15">
      <c r="E13" t="s">
        <v>70</v>
      </c>
      <c r="F13" s="44" t="str">
        <f>+IF(ARBITRAMENTOS!T17=0,"Falta  actualizar","")</f>
        <v/>
      </c>
    </row>
    <row r="14" spans="2:6" ht="15">
      <c r="B14" t="s">
        <v>76</v>
      </c>
      <c r="C14" s="44" t="str">
        <f>+IF(JUDICIALES!$D$11="","Falta  actualizar","")</f>
        <v/>
      </c>
      <c r="E14" s="43" t="s">
        <v>45</v>
      </c>
      <c r="F14" s="87">
        <f>+ARBITRAMENTOS!D10</f>
        <v>0</v>
      </c>
    </row>
    <row r="15" spans="2:6" ht="15">
      <c r="B15" s="43" t="s">
        <v>42</v>
      </c>
      <c r="C15" s="87">
        <f>+JUDICIALES!$D$12</f>
        <v>358</v>
      </c>
      <c r="E15" s="43" t="s">
        <v>44</v>
      </c>
      <c r="F15" s="88" t="str">
        <f>_xlfn.IFERROR(ARBITRAMENTOS!D10/ARBITRAMENTOS!D9,"")</f>
        <v/>
      </c>
    </row>
    <row r="16" spans="2:3" ht="15">
      <c r="B16" s="43" t="s">
        <v>44</v>
      </c>
      <c r="C16" s="88">
        <f>_xlfn.IFERROR(JUDICIALES!$D$12/JUDICIALES!$D$11,"")</f>
        <v>1</v>
      </c>
    </row>
    <row r="17" spans="2:6" ht="15">
      <c r="B17" s="43" t="s">
        <v>50</v>
      </c>
      <c r="C17" s="88">
        <f>_xlfn.IFERROR(JUDICIALES!$G$11/JUDICIALES!$G$10,"")</f>
        <v>1</v>
      </c>
      <c r="E17" t="s">
        <v>73</v>
      </c>
      <c r="F17" s="44" t="str">
        <f>+IF(PAGOS!D9="","Falta  actualizar","")</f>
        <v/>
      </c>
    </row>
    <row r="18" spans="2:6" ht="15">
      <c r="B18" s="43" t="s">
        <v>43</v>
      </c>
      <c r="C18" s="87">
        <f>_xlfn.IFERROR(C15/ABOGADOS!$D$12,"")</f>
        <v>71.6</v>
      </c>
      <c r="E18" s="43" t="s">
        <v>48</v>
      </c>
      <c r="F18" s="87">
        <f>+PAGOS!D10</f>
        <v>0</v>
      </c>
    </row>
    <row r="19" spans="2:6" ht="15">
      <c r="B19" s="43" t="s">
        <v>75</v>
      </c>
      <c r="C19" s="88">
        <f>_xlfn.IFERROR(1-(JUDICIALES!$H$22+JUDICIALES!$H$23+JUDICIALES!$H$24)/(JUDICIALES!$G$22+JUDICIALES!$G$23+JUDICIALES!$G$24),"")</f>
        <v>0.014778325123152691</v>
      </c>
      <c r="E19" s="43" t="s">
        <v>49</v>
      </c>
      <c r="F19" s="87" t="str">
        <f>+IF(PAGOS!D9="No","No aplica","si")</f>
        <v>No aplica</v>
      </c>
    </row>
    <row r="21" ht="15.75" thickBot="1"/>
    <row r="22" spans="2:6" ht="15">
      <c r="B22" s="2" t="s">
        <v>94</v>
      </c>
      <c r="C22" s="3"/>
      <c r="D22" s="3"/>
      <c r="E22" s="3"/>
      <c r="F22" s="4"/>
    </row>
    <row r="23" spans="2:6" ht="15">
      <c r="B23" s="129" t="s">
        <v>192</v>
      </c>
      <c r="C23" s="113"/>
      <c r="D23" s="113"/>
      <c r="E23" s="113"/>
      <c r="F23" s="114"/>
    </row>
    <row r="24" spans="2:6" ht="15">
      <c r="B24" s="115"/>
      <c r="C24" s="116"/>
      <c r="D24" s="116"/>
      <c r="E24" s="116"/>
      <c r="F24" s="117"/>
    </row>
    <row r="25" spans="2:6" ht="15">
      <c r="B25" s="115"/>
      <c r="C25" s="116"/>
      <c r="D25" s="116"/>
      <c r="E25" s="116"/>
      <c r="F25" s="117"/>
    </row>
    <row r="26" spans="2:6" ht="15">
      <c r="B26" s="118"/>
      <c r="C26" s="119"/>
      <c r="D26" s="119"/>
      <c r="E26" s="119"/>
      <c r="F26" s="120"/>
    </row>
  </sheetData>
  <sheetProtection algorithmName="SHA-512" hashValue="xLp+iVXktoCHjSyisMzeUqB3TFHZ3ECZVWfGHLrfjAZjidIlu5D3CLoewvx3qakIhGiDVMcS9XCeM/RFc9I93g==" saltValue="sgud4LPzkaR+TgKL0MQL3A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priority="3" dxfId="0">
      <formula>LEN(TRIM(B23))=0</formula>
    </cfRule>
  </conditionalFormatting>
  <conditionalFormatting sqref="C5">
    <cfRule type="containsBlanks" priority="2" dxfId="0">
      <formula>LEN(TRIM(C5))=0</formula>
    </cfRule>
  </conditionalFormatting>
  <conditionalFormatting sqref="C6">
    <cfRule type="containsBlanks" priority="1" dxfId="0">
      <formula>LEN(TRIM(C6))=0</formula>
    </cfRule>
  </conditionalFormatting>
  <printOptions/>
  <pageMargins left="0.7" right="0.7" top="0.75" bottom="0.75" header="0.3" footer="0.3"/>
  <pageSetup horizontalDpi="600" verticalDpi="600" orientation="landscape" paperSize="11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8"/>
  <sheetViews>
    <sheetView workbookViewId="0" topLeftCell="AW1">
      <selection activeCell="BI3" sqref="BI3"/>
    </sheetView>
  </sheetViews>
  <sheetFormatPr defaultColWidth="10.7109375" defaultRowHeight="15"/>
  <cols>
    <col min="1" max="1" width="34.57421875" style="69" customWidth="1"/>
    <col min="2" max="2" width="29.57421875" style="69" customWidth="1"/>
    <col min="3" max="16384" width="10.7109375" style="69" customWidth="1"/>
  </cols>
  <sheetData>
    <row r="2" spans="1:67" ht="15">
      <c r="A2" s="72" t="s">
        <v>37</v>
      </c>
      <c r="B2" s="72" t="s">
        <v>112</v>
      </c>
      <c r="C2" s="72" t="s">
        <v>21</v>
      </c>
      <c r="D2" s="72" t="s">
        <v>22</v>
      </c>
      <c r="E2" s="72" t="s">
        <v>26</v>
      </c>
      <c r="F2" s="72" t="s">
        <v>20</v>
      </c>
      <c r="G2" s="72" t="s">
        <v>101</v>
      </c>
      <c r="H2" s="73" t="s">
        <v>102</v>
      </c>
      <c r="I2" s="74" t="s">
        <v>114</v>
      </c>
      <c r="J2" s="74" t="s">
        <v>115</v>
      </c>
      <c r="K2" s="74" t="s">
        <v>116</v>
      </c>
      <c r="L2" s="74" t="s">
        <v>117</v>
      </c>
      <c r="M2" s="74" t="s">
        <v>118</v>
      </c>
      <c r="N2" s="74" t="s">
        <v>119</v>
      </c>
      <c r="O2" s="74" t="s">
        <v>120</v>
      </c>
      <c r="P2" s="72" t="s">
        <v>28</v>
      </c>
      <c r="Q2" s="72" t="s">
        <v>29</v>
      </c>
      <c r="R2" s="72" t="s">
        <v>30</v>
      </c>
      <c r="S2" s="72" t="s">
        <v>121</v>
      </c>
      <c r="T2" s="72" t="s">
        <v>122</v>
      </c>
      <c r="U2" s="72" t="s">
        <v>36</v>
      </c>
      <c r="V2" s="72" t="s">
        <v>123</v>
      </c>
      <c r="W2" s="72" t="s">
        <v>85</v>
      </c>
      <c r="X2" s="72" t="s">
        <v>86</v>
      </c>
      <c r="Y2" s="72" t="s">
        <v>87</v>
      </c>
      <c r="Z2" s="72" t="s">
        <v>88</v>
      </c>
      <c r="AA2" s="72" t="s">
        <v>89</v>
      </c>
      <c r="AB2" s="74" t="s">
        <v>124</v>
      </c>
      <c r="AC2" s="74" t="s">
        <v>125</v>
      </c>
      <c r="AD2" s="74" t="s">
        <v>126</v>
      </c>
      <c r="AE2" s="72" t="s">
        <v>34</v>
      </c>
      <c r="AF2" s="72" t="s">
        <v>61</v>
      </c>
      <c r="AG2" s="72" t="s">
        <v>62</v>
      </c>
      <c r="AH2" s="72" t="s">
        <v>35</v>
      </c>
      <c r="AI2" s="72" t="s">
        <v>127</v>
      </c>
      <c r="AJ2" s="72" t="s">
        <v>128</v>
      </c>
      <c r="AK2" s="72" t="s">
        <v>129</v>
      </c>
      <c r="AL2" s="72" t="s">
        <v>130</v>
      </c>
      <c r="AM2" s="72" t="s">
        <v>131</v>
      </c>
      <c r="AN2" s="72" t="s">
        <v>132</v>
      </c>
      <c r="AO2" s="72" t="s">
        <v>133</v>
      </c>
      <c r="AP2" s="72" t="s">
        <v>134</v>
      </c>
      <c r="AQ2" s="75" t="s">
        <v>54</v>
      </c>
      <c r="AR2" s="75" t="s">
        <v>55</v>
      </c>
      <c r="AS2" s="75" t="s">
        <v>51</v>
      </c>
      <c r="AT2" s="75" t="s">
        <v>52</v>
      </c>
      <c r="AU2" s="75" t="s">
        <v>53</v>
      </c>
      <c r="AV2" s="75" t="s">
        <v>56</v>
      </c>
      <c r="AW2" s="75" t="s">
        <v>69</v>
      </c>
      <c r="AX2" s="75" t="s">
        <v>58</v>
      </c>
      <c r="AY2" s="75" t="s">
        <v>59</v>
      </c>
      <c r="AZ2" s="75" t="s">
        <v>71</v>
      </c>
      <c r="BA2" s="75" t="s">
        <v>72</v>
      </c>
      <c r="BB2" s="76" t="s">
        <v>135</v>
      </c>
      <c r="BC2" s="76" t="s">
        <v>90</v>
      </c>
      <c r="BD2" s="77" t="s">
        <v>136</v>
      </c>
      <c r="BE2" s="77" t="s">
        <v>137</v>
      </c>
      <c r="BF2" s="77" t="s">
        <v>138</v>
      </c>
      <c r="BG2" s="77" t="s">
        <v>139</v>
      </c>
      <c r="BH2" s="77" t="s">
        <v>140</v>
      </c>
      <c r="BI2" s="77" t="s">
        <v>141</v>
      </c>
      <c r="BJ2" s="77" t="s">
        <v>142</v>
      </c>
      <c r="BK2" s="77" t="s">
        <v>143</v>
      </c>
      <c r="BL2" s="77" t="s">
        <v>144</v>
      </c>
      <c r="BM2" s="77" t="s">
        <v>145</v>
      </c>
      <c r="BN2" s="77" t="s">
        <v>146</v>
      </c>
      <c r="BO2" s="77" t="s">
        <v>147</v>
      </c>
    </row>
    <row r="3" spans="1:67" ht="15">
      <c r="A3" s="69" t="str">
        <f>'Resumen General'!C5</f>
        <v>CORPORACION AUTONOMA REGIONAL DE BOYACA . CORPOBOYACA</v>
      </c>
      <c r="B3" s="69" t="str">
        <f>'Resumen General'!C6</f>
        <v>ALCIRA LESMES VANEGAS</v>
      </c>
      <c r="C3" s="69">
        <f>+ABOGADOS!D11</f>
        <v>5</v>
      </c>
      <c r="D3" s="69">
        <f>+ABOGADOS!D12</f>
        <v>5</v>
      </c>
      <c r="E3" s="69">
        <f>+ABOGADOS!D13</f>
        <v>5</v>
      </c>
      <c r="F3" s="69">
        <f>+ABOGADOS!D14</f>
        <v>0</v>
      </c>
      <c r="G3" s="69">
        <f>+ABOGADOS!D17</f>
        <v>0</v>
      </c>
      <c r="H3" s="69">
        <f>+ABOGADOS!D18</f>
        <v>0</v>
      </c>
      <c r="I3" s="69">
        <f>+ABOGADOS!G10</f>
        <v>4</v>
      </c>
      <c r="J3" s="69">
        <f>+ABOGADOS!G11</f>
        <v>4</v>
      </c>
      <c r="K3" s="69">
        <f>+ABOGADOS!G12</f>
        <v>5</v>
      </c>
      <c r="L3" s="69">
        <f>+ABOGADOS!G17</f>
        <v>2</v>
      </c>
      <c r="M3" s="69">
        <f>+ABOGADOS!G18</f>
        <v>2</v>
      </c>
      <c r="N3" s="69">
        <f>+ABOGADOS!G19</f>
        <v>0</v>
      </c>
      <c r="O3" s="69">
        <f>+ABOGADOS!G21</f>
        <v>0</v>
      </c>
      <c r="P3" s="69">
        <f>+JUDICIALES!D11</f>
        <v>358</v>
      </c>
      <c r="Q3" s="69">
        <f>+JUDICIALES!D12</f>
        <v>358</v>
      </c>
      <c r="R3" s="69">
        <f>+JUDICIALES!D13</f>
        <v>2</v>
      </c>
      <c r="S3" s="69">
        <f>+JUDICIALES!D16</f>
        <v>0</v>
      </c>
      <c r="T3" s="69">
        <f>+JUDICIALES!D17</f>
        <v>0</v>
      </c>
      <c r="U3" s="69">
        <f>+JUDICIALES!D21</f>
        <v>130</v>
      </c>
      <c r="V3" s="69">
        <f>+JUDICIALES!D22</f>
        <v>87</v>
      </c>
      <c r="W3" s="69">
        <f>JUDICIALES!D28</f>
        <v>0</v>
      </c>
      <c r="X3" s="69">
        <f>JUDICIALES!D29</f>
        <v>0</v>
      </c>
      <c r="Y3" s="69">
        <f>JUDICIALES!D30</f>
        <v>0</v>
      </c>
      <c r="Z3" s="69">
        <f>JUDICIALES!D31</f>
        <v>0</v>
      </c>
      <c r="AA3" s="69">
        <f>JUDICIALES!D32</f>
        <v>0</v>
      </c>
      <c r="AB3" s="69">
        <f>+JUDICIALES!G9</f>
        <v>2</v>
      </c>
      <c r="AC3" s="69">
        <f>+JUDICIALES!G10</f>
        <v>2</v>
      </c>
      <c r="AD3" s="69">
        <f>+JUDICIALES!G11</f>
        <v>2</v>
      </c>
      <c r="AE3" s="69">
        <f>+JUDICIALES!G15</f>
        <v>419</v>
      </c>
      <c r="AF3" s="69">
        <f>+JUDICIALES!G16</f>
        <v>4</v>
      </c>
      <c r="AG3" s="69">
        <f>+JUDICIALES!G17</f>
        <v>227</v>
      </c>
      <c r="AH3" s="69">
        <f>+JUDICIALES!G18</f>
        <v>188</v>
      </c>
      <c r="AI3" s="69">
        <f>+JUDICIALES!G21</f>
        <v>28</v>
      </c>
      <c r="AJ3" s="69">
        <f>+JUDICIALES!G22</f>
        <v>58</v>
      </c>
      <c r="AK3" s="69">
        <f>+JUDICIALES!G23</f>
        <v>92</v>
      </c>
      <c r="AL3" s="69">
        <f>+JUDICIALES!G24</f>
        <v>53</v>
      </c>
      <c r="AM3" s="69">
        <f>+JUDICIALES!H21</f>
        <v>13</v>
      </c>
      <c r="AN3" s="69">
        <f>+JUDICIALES!H22</f>
        <v>56</v>
      </c>
      <c r="AO3" s="69">
        <f>+JUDICIALES!H23</f>
        <v>92</v>
      </c>
      <c r="AP3" s="69">
        <f>+JUDICIALES!H24</f>
        <v>52</v>
      </c>
      <c r="AQ3" s="69">
        <f>+PREJUDICIALES!D10</f>
        <v>37</v>
      </c>
      <c r="AR3" s="69">
        <f>+PREJUDICIALES!D11</f>
        <v>0</v>
      </c>
      <c r="AS3" s="69">
        <f>+PREJUDICIALES!D12</f>
        <v>0</v>
      </c>
      <c r="AT3" s="69">
        <f>+PREJUDICIALES!D13</f>
        <v>0</v>
      </c>
      <c r="AU3" s="69">
        <f>+PREJUDICIALES!D14</f>
        <v>0</v>
      </c>
      <c r="AV3" s="69">
        <f>+PREJUDICIALES!D17</f>
        <v>0</v>
      </c>
      <c r="AW3" s="69">
        <f>+PREJUDICIALES!D18</f>
        <v>0</v>
      </c>
      <c r="AX3" s="69">
        <f>+PREJUDICIALES!G12</f>
        <v>0</v>
      </c>
      <c r="AY3" s="69">
        <f>+PREJUDICIALES!G13</f>
        <v>0</v>
      </c>
      <c r="AZ3" s="69">
        <f>+ARBITRAMENTOS!D9</f>
        <v>0</v>
      </c>
      <c r="BA3" s="69">
        <f>+ARBITRAMENTOS!D10</f>
        <v>0</v>
      </c>
      <c r="BB3" s="69">
        <f>ARBITRAMENTOS!G9</f>
        <v>0</v>
      </c>
      <c r="BC3" s="69">
        <f>ARBITRAMENTOS!G10</f>
        <v>0</v>
      </c>
      <c r="BD3" s="69" t="str">
        <f>+PAGOS!D9</f>
        <v>No</v>
      </c>
      <c r="BE3" s="69">
        <f>+PAGOS!D10</f>
        <v>0</v>
      </c>
      <c r="BF3" s="70">
        <f>USUARIOS!D9</f>
        <v>44624</v>
      </c>
      <c r="BG3" s="70">
        <f>ABOGADOS!D7</f>
        <v>44624</v>
      </c>
      <c r="BH3" s="70">
        <f>JUDICIALES!D8</f>
        <v>44624</v>
      </c>
      <c r="BI3" s="69" t="str">
        <f>+USUARIOS!C19</f>
        <v>Se actualizó la información referente al rol de Secretario Técnico</v>
      </c>
      <c r="BJ3" s="69" t="str">
        <f>+ABOGADOS!C22</f>
        <v xml:space="preserve">Se inactivo el usuario CLAUDIA MARCELA ROJAS ARRAZOLA </v>
      </c>
      <c r="BK3" s="69" t="str">
        <f>+JUDICIALES!F28</f>
        <v>Se observan 145 procesos sin calificacion de riesgo</v>
      </c>
      <c r="BL3" s="69" t="str">
        <f>+PREJUDICIALES!F17</f>
        <v>Se evidencia la creación de tres fichas de conciliación prejudiciales. 
Se recomienda actualizar la información de   conciliación prejudiciales y crear  las fichas que se consideren necesarias.</v>
      </c>
      <c r="BM3" s="69" t="str">
        <f>+ARBITRAMENTOS!C13</f>
        <v>El profesional del proceso Gestión Juridica manifestó que la Corporación no maneja actuaciones que se desarrollen en tribunales
de arbitramento.</v>
      </c>
      <c r="BN3" s="69" t="str">
        <f>+PAGOS!F8</f>
        <v>La Corporación no ha realizado pagos de procesos judiciales a través del SIIF porque no han aplicado</v>
      </c>
      <c r="BO3" s="69" t="str">
        <f>'Resumen General'!B23</f>
        <v xml:space="preserve">Se cuenta con la asignación y actualización de todo lo concerniente a usuarios del sistema EKOGUI para la CORPORACIÓN
La Corporación ha avanzado en la asignación de responsables, en la actualización de los estados de los procesos y en general en el mejoramiento continuo del Sistema EKOGUI
Se encontraron en el Sistema EKOGUI-Procesos Judiciales un total de 145 procesos sin calificación de riesgo; por lo tanto, se recomienda actualizar la información con el fin de evitar posibles subestimaciones y/o materialización de riesgos.  (Llevar a SGI-ALMERA)
Se evidencia la creación de tres fichas de conciliación prejudiciales; sin embargo, se recomienda actualizar la información de   conciliaciones prejudiciales y crear las fichas que se consideren necesarias. (Llevar a SGI-ALMERA)
</v>
      </c>
    </row>
    <row r="12" spans="1:7" ht="15">
      <c r="A12" s="69" t="s">
        <v>37</v>
      </c>
      <c r="B12" s="69" t="s">
        <v>15</v>
      </c>
      <c r="C12" s="72" t="s">
        <v>16</v>
      </c>
      <c r="D12" s="72" t="s">
        <v>6</v>
      </c>
      <c r="E12" s="72" t="s">
        <v>7</v>
      </c>
      <c r="F12" s="72" t="s">
        <v>17</v>
      </c>
      <c r="G12" s="72" t="s">
        <v>79</v>
      </c>
    </row>
    <row r="13" spans="1:7" ht="15">
      <c r="A13" s="69" t="str">
        <f aca="true" t="shared" si="0" ref="A13:A18">$A$3</f>
        <v>CORPORACION AUTONOMA REGIONAL DE BOYACA . CORPOBOYACA</v>
      </c>
      <c r="B13" s="69" t="s">
        <v>0</v>
      </c>
      <c r="C13" s="69" t="str">
        <f>USUARIOS!C12</f>
        <v>N/A</v>
      </c>
      <c r="D13" s="71">
        <f>USUARIOS!D12</f>
        <v>0</v>
      </c>
      <c r="E13" s="69">
        <f>USUARIOS!E12</f>
        <v>0</v>
      </c>
      <c r="F13" s="71">
        <f>USUARIOS!F12</f>
        <v>0</v>
      </c>
      <c r="G13" s="69" t="str">
        <f>USUARIOS!G12</f>
        <v/>
      </c>
    </row>
    <row r="14" spans="1:7" ht="15">
      <c r="A14" s="69" t="str">
        <f t="shared" si="0"/>
        <v>CORPORACION AUTONOMA REGIONAL DE BOYACA . CORPOBOYACA</v>
      </c>
      <c r="B14" s="69" t="s">
        <v>1</v>
      </c>
      <c r="C14" s="69" t="str">
        <f>USUARIOS!C13</f>
        <v>N/A</v>
      </c>
      <c r="D14" s="71">
        <f>USUARIOS!D13</f>
        <v>0</v>
      </c>
      <c r="E14" s="69">
        <f>USUARIOS!E13</f>
        <v>0</v>
      </c>
      <c r="F14" s="71">
        <f>USUARIOS!F13</f>
        <v>0</v>
      </c>
      <c r="G14" s="69" t="str">
        <f>USUARIOS!G13</f>
        <v/>
      </c>
    </row>
    <row r="15" spans="1:7" ht="15">
      <c r="A15" s="69" t="str">
        <f t="shared" si="0"/>
        <v>CORPORACION AUTONOMA REGIONAL DE BOYACA . CORPOBOYACA</v>
      </c>
      <c r="B15" s="69" t="s">
        <v>2</v>
      </c>
      <c r="C15" s="69" t="str">
        <f>USUARIOS!C14</f>
        <v>N/A</v>
      </c>
      <c r="D15" s="71">
        <f>USUARIOS!D14</f>
        <v>0</v>
      </c>
      <c r="E15" s="69">
        <f>USUARIOS!E14</f>
        <v>0</v>
      </c>
      <c r="F15" s="71">
        <f>USUARIOS!F14</f>
        <v>0</v>
      </c>
      <c r="G15" s="69" t="str">
        <f>USUARIOS!G14</f>
        <v/>
      </c>
    </row>
    <row r="16" spans="1:7" ht="15">
      <c r="A16" s="69" t="str">
        <f t="shared" si="0"/>
        <v>CORPORACION AUTONOMA REGIONAL DE BOYACA . CORPOBOYACA</v>
      </c>
      <c r="B16" s="69" t="s">
        <v>3</v>
      </c>
      <c r="C16" s="69" t="str">
        <f>USUARIOS!C15</f>
        <v>Si</v>
      </c>
      <c r="D16" s="71">
        <f>USUARIOS!D15</f>
        <v>42580</v>
      </c>
      <c r="E16" s="69" t="str">
        <f>USUARIOS!E15</f>
        <v>ALCIRA LESMES VANEGAS</v>
      </c>
      <c r="F16" s="71">
        <f>USUARIOS!F15</f>
        <v>43725</v>
      </c>
      <c r="G16" s="69" t="str">
        <f>USUARIOS!G15</f>
        <v/>
      </c>
    </row>
    <row r="17" spans="1:7" ht="15">
      <c r="A17" s="69" t="str">
        <f t="shared" si="0"/>
        <v>CORPORACION AUTONOMA REGIONAL DE BOYACA . CORPOBOYACA</v>
      </c>
      <c r="B17" s="69" t="s">
        <v>4</v>
      </c>
      <c r="C17" s="69" t="str">
        <f>USUARIOS!C16</f>
        <v>Si</v>
      </c>
      <c r="D17" s="71">
        <f>USUARIOS!D16</f>
        <v>44254</v>
      </c>
      <c r="E17" s="69" t="str">
        <f>USUARIOS!E16</f>
        <v>JULLY MARCELA LEGUIZAMON GONZALEZ</v>
      </c>
      <c r="F17" s="71">
        <f>USUARIOS!F16</f>
        <v>44254</v>
      </c>
      <c r="G17" s="69" t="str">
        <f>USUARIOS!G16</f>
        <v/>
      </c>
    </row>
    <row r="18" spans="1:7" ht="15">
      <c r="A18" s="69" t="str">
        <f t="shared" si="0"/>
        <v>CORPORACION AUTONOMA REGIONAL DE BOYACA . CORPOBOYACA</v>
      </c>
      <c r="B18" s="69" t="s">
        <v>5</v>
      </c>
      <c r="C18" s="69" t="str">
        <f>USUARIOS!C17</f>
        <v>Si</v>
      </c>
      <c r="D18" s="71">
        <f>USUARIOS!D17</f>
        <v>43360</v>
      </c>
      <c r="E18" s="69" t="str">
        <f>USUARIOS!E17</f>
        <v>CAMILO CAMACHO</v>
      </c>
      <c r="F18" s="71">
        <f>USUARIOS!F17</f>
        <v>43845</v>
      </c>
      <c r="G18" s="69" t="str">
        <f>USUARIOS!G17</f>
        <v/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Garzón Peraza</dc:creator>
  <cp:keywords/>
  <dc:description/>
  <cp:lastModifiedBy>Monica Aparicio Mesa</cp:lastModifiedBy>
  <cp:lastPrinted>2022-07-29T19:28:29Z</cp:lastPrinted>
  <dcterms:created xsi:type="dcterms:W3CDTF">2020-06-25T21:16:25Z</dcterms:created>
  <dcterms:modified xsi:type="dcterms:W3CDTF">2022-07-29T19:33:32Z</dcterms:modified>
  <cp:category/>
  <cp:version/>
  <cp:contentType/>
  <cp:contentStatus/>
</cp:coreProperties>
</file>