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029"/>
  <workbookPr/>
  <bookViews>
    <workbookView xWindow="65416" yWindow="480" windowWidth="20730" windowHeight="11160" activeTab="0"/>
  </bookViews>
  <sheets>
    <sheet name="TRAMO 1" sheetId="1" r:id="rId1"/>
    <sheet name="TRAMO 2" sheetId="5" r:id="rId2"/>
    <sheet name="CRONO_ELIMI_VERT" sheetId="6" r:id="rId3"/>
  </sheets>
  <definedNames>
    <definedName name="_xlnm._FilterDatabase" localSheetId="0" hidden="1">'TRAMO 1'!$G$1:$G$103</definedName>
    <definedName name="_xlnm._FilterDatabase" localSheetId="1" hidden="1">'TRAMO 2'!$G$1:$G$121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<sst xmlns="http://schemas.openxmlformats.org/spreadsheetml/2006/main" count="2137" uniqueCount="179">
  <si>
    <t>CORPORACIÓN AUTÓNOMA REGIONAL DE BOYACÁ - CORPOBOYACÁ</t>
  </si>
  <si>
    <t>SUBDIRECCIÓN DE ECOSISTEMAS Y GESTIÓN AMBIENTAL S.E.G.A</t>
  </si>
  <si>
    <t>PRIMER QUINQUENIO  2023 - 2027</t>
  </si>
  <si>
    <t>SUBZONA HIDROGRAFICA</t>
  </si>
  <si>
    <t>FUENTE RECEPTORA</t>
  </si>
  <si>
    <t>TRAMO</t>
  </si>
  <si>
    <t>SISTEMA DE TRATAMIENTO</t>
  </si>
  <si>
    <t>MUNICIPIO - PRESTADOR DEL SERVICIO DE ALCANTARILLADO</t>
  </si>
  <si>
    <t>METODO DE CÁLCULO</t>
  </si>
  <si>
    <t>POB (hab)</t>
  </si>
  <si>
    <t>PPC DBO5 (Kg/hab-día)</t>
  </si>
  <si>
    <t>PPC SST (Kg/hab-día)</t>
  </si>
  <si>
    <t>Caudal descarga (l/s)</t>
  </si>
  <si>
    <t>Tiempo descarga (h/día)</t>
  </si>
  <si>
    <t>Tiempo descarga (día/mes)</t>
  </si>
  <si>
    <t>Concentración DBO (mg/l)</t>
  </si>
  <si>
    <t>Concentración SST (mg/l)</t>
  </si>
  <si>
    <r>
      <t>Cc DBO</t>
    </r>
    <r>
      <rPr>
        <b/>
        <vertAlign val="subscript"/>
        <sz val="10"/>
        <color theme="1"/>
        <rFont val="Leelawadee UI"/>
        <family val="2"/>
      </rPr>
      <t>5</t>
    </r>
    <r>
      <rPr>
        <b/>
        <sz val="10"/>
        <color theme="1"/>
        <rFont val="Leelawadee UI"/>
        <family val="2"/>
      </rPr>
      <t xml:space="preserve"> (Kg/día)</t>
    </r>
  </si>
  <si>
    <t>Cc SST (Kg/día)</t>
  </si>
  <si>
    <r>
      <t>Cc DBO</t>
    </r>
    <r>
      <rPr>
        <b/>
        <vertAlign val="subscript"/>
        <sz val="10"/>
        <color theme="1"/>
        <rFont val="Leelawadee UI"/>
        <family val="2"/>
      </rPr>
      <t>5</t>
    </r>
    <r>
      <rPr>
        <b/>
        <sz val="10"/>
        <color theme="1"/>
        <rFont val="Leelawadee UI"/>
        <family val="2"/>
      </rPr>
      <t xml:space="preserve"> (Kg/mes)</t>
    </r>
  </si>
  <si>
    <t>Cc SST (Kg/mes)</t>
  </si>
  <si>
    <t>OBSERVACIONES</t>
  </si>
  <si>
    <t>Medio Magdalena</t>
  </si>
  <si>
    <t>Río Carare Minero</t>
  </si>
  <si>
    <t>QUEBRADA LAS MERCEDES O CANGREJERA</t>
  </si>
  <si>
    <t>SI</t>
  </si>
  <si>
    <t>MUNICIPIO DE COPER</t>
  </si>
  <si>
    <t>PPC</t>
  </si>
  <si>
    <t>--</t>
  </si>
  <si>
    <t xml:space="preserve">Para el cálculo de la carga contaminante, se determinó mediante la producción per cápita (PPC) sugerida para poblaciones, en la Sección 2, Artículo 169, Parágrafo 2, Tabla 24 de la Resolución 0330 de 2017 y con la proyección de la Población nivel municipal 2018-2023 del DANE </t>
  </si>
  <si>
    <t>Q. LA CALICHONA/Q. LA CASCARILLA</t>
  </si>
  <si>
    <t>NO</t>
  </si>
  <si>
    <t>MUNICIPIO DE LA VICTORIA</t>
  </si>
  <si>
    <t>QUEBRADA YANACA</t>
  </si>
  <si>
    <t>MUNICIPIO DE MARIPI</t>
  </si>
  <si>
    <t>Q. LA CHAMA/Q. MATADERO</t>
  </si>
  <si>
    <t>MUNICIPIO DE MUZO</t>
  </si>
  <si>
    <t>Q. PARSUCHA/ Q. QUÍPAMA</t>
  </si>
  <si>
    <t>MUNICIPIO DE QUIPAMA</t>
  </si>
  <si>
    <t xml:space="preserve">ACTIVIDADES ECONOMICAS </t>
  </si>
  <si>
    <t>QUEBRADA ITOCO</t>
  </si>
  <si>
    <t>MINA REAL LTDA</t>
  </si>
  <si>
    <t>LAB</t>
  </si>
  <si>
    <t>QUEBRADA LAS ANIMAS</t>
  </si>
  <si>
    <t>PROMOTORA LA ROCA S.A.S - MINA EL MINAS</t>
  </si>
  <si>
    <t>Se calculó la carga contaminante con respecto a la información contenida en el expediente OOLA-00002-21 en lo que respecta al radicado de entrada No 31188 de fecha 16 de diciembre de 2021. Los datos de la concentración dee DBO5 y SST corresponden a los datos obtenidos en el análisis del sector la 14 muestra que fue tomada el 19 de marzo de 2019,</t>
  </si>
  <si>
    <t>PROMOTORA LA ROCA S.A.S - MINA LA NEVERA</t>
  </si>
  <si>
    <t>PUERTO ARTURO S.A.S</t>
  </si>
  <si>
    <r>
      <t xml:space="preserve">Se calcularon las cargas contaminantes con base en la </t>
    </r>
    <r>
      <rPr>
        <b/>
        <sz val="10"/>
        <color theme="1"/>
        <rFont val="Leelawadee UI"/>
        <family val="2"/>
      </rPr>
      <t>autodeclaración presentada por el usuario 2019</t>
    </r>
    <r>
      <rPr>
        <sz val="10"/>
        <color theme="1"/>
        <rFont val="Leelawadee UI"/>
        <family val="2"/>
      </rPr>
      <t xml:space="preserve">: V1 Q= 12,575  l/s  [DBO]= 10 mg/l [SST]= 42 mg/l ; V2 V1 Q=  5,594 l/s  [DBO]= 8 mg/l [SST]= 15 mg/l ; V3 Q= 2,101  l/s  [DBO]= 12 mg/l [SST]= 25 mg/l ; V4 Q=  0,195 l/s  [DBO]= 109 mg/l [SST]= 551 mg/l; V5 Q= 0,012  l/s  [DBO]= 9 mg/l [SST]= 15 mg/l; V6 Q= 14,4 l/s  [DBO]= 12 mg/l [SST]= 26 mg/l </t>
    </r>
    <r>
      <rPr>
        <b/>
        <sz val="10"/>
        <color theme="1"/>
        <rFont val="Leelawadee UI"/>
        <family val="2"/>
      </rPr>
      <t>Autodeclaración 2020</t>
    </r>
    <r>
      <rPr>
        <sz val="10"/>
        <color theme="1"/>
        <rFont val="Leelawadee UI"/>
        <family val="2"/>
      </rPr>
      <t xml:space="preserve"> V7 Q=  0,8 l/s  [DBO]= 274 mg/l [SST]= 243 mg/l ; V8 Q= 0,94 l/s  [DBO]= 106 mg/l [SST]= 114 mg/l V9 Q= 0,26 l/s  [DBO]= 241 mg/l [SST]= 128 mg/l</t>
    </r>
  </si>
  <si>
    <t>QUEBRADA MINABUCI</t>
  </si>
  <si>
    <r>
      <t xml:space="preserve">SOCIEDAD MINERALES </t>
    </r>
    <r>
      <rPr>
        <sz val="10"/>
        <color theme="1"/>
        <rFont val="Arial"/>
        <family val="2"/>
      </rPr>
      <t>&amp;</t>
    </r>
    <r>
      <rPr>
        <sz val="10"/>
        <color theme="1"/>
        <rFont val="Leelawadee UI"/>
        <family val="2"/>
      </rPr>
      <t xml:space="preserve"> INVERSIONES LA ARCADIA S.A.S</t>
    </r>
  </si>
  <si>
    <t xml:space="preserve">Se calcularon las cargas con la información contenida en el expedidente OOLA-00017-19 V1  Agua Residual No Doméstica Q= 0,56  l/s  [DBO]= 2 mg/l [SST]= 193 mg/l V2 Agua Residual Doméstica Q=0,038 l/s  [DBO]=  205 mg/l [SST]= 170 mg/l </t>
  </si>
  <si>
    <t>QUEBRADA LA COLORADA</t>
  </si>
  <si>
    <t>INVERSIONES MINERAS DE MUZO LIMITADA - INVERMUZO LTDA - MINA SANTA MARTA</t>
  </si>
  <si>
    <t>QUEBRADA ZAPOTE</t>
  </si>
  <si>
    <t>MUNICIPIO DE BRICEÑO</t>
  </si>
  <si>
    <t>-</t>
  </si>
  <si>
    <t>QUEBRADA TAMBRÍAS</t>
  </si>
  <si>
    <t>EMPRESA DE ACUEDUCTO ALCANTARILLADO ASEO Y SERVICIOS COMPLEMENTARIOS DE OTANCHE SAS AGUAS DE OTANCHE SAS ESP</t>
  </si>
  <si>
    <t>QUEBRADA PAUNERA</t>
  </si>
  <si>
    <t>MUNICIPIO DE PAUNA</t>
  </si>
  <si>
    <t>QUEBRADA LA "Y" Y RÍO MINERO</t>
  </si>
  <si>
    <t>MUNICIPIO DE SAN PABLO DE BORBUR</t>
  </si>
  <si>
    <t>Para el cálculo de la carga contaminante, se determinó mediante la producción per cápita (PPC) sugerida para poblaciones, en la Sección 2, Artículo 169, Parágrafo 2, Tabla 24 de la Resolución 0330 de 2017 y para la proyección de población del casco urbano se tomó la infromación del Plan de Desarrollo San Pablo de Borbur Boyacá 2008 - 2011; teniendo en cuanta la proyección del año 2020 y posteriormente se calculó la Proyeccion de poblacion mediante el metodo exponencial y geométrico</t>
  </si>
  <si>
    <t>CAÑO GALVÁN</t>
  </si>
  <si>
    <t>MUNICIPIO DE TUNUNGUA</t>
  </si>
  <si>
    <t>QUEBRADA BURI BURI</t>
  </si>
  <si>
    <t>MUNICIPIO DE SAN PABLO DE BORBUR - CENTRO POBLADO SAN MARTÍN</t>
  </si>
  <si>
    <t xml:space="preserve">Para el cálculo de la carga contaminante, se determinó mediante la producción per cápita (PPC) sugerida para poblaciones, en la Sección 2, Artículo 169, Parágrafo 2, Tabla 24 de la Resolución 0330 de 2017 y  con la proyección de la Población nivel municipal 2018-2023 del DANE </t>
  </si>
  <si>
    <t>MUNICIPIO DE SAN PABLO DE BORBUR - CENTRO POBLADO SANTA BÁRBARA</t>
  </si>
  <si>
    <t xml:space="preserve">MUNICIPIO DE OTANCHE - PLANTA DE BENEFICIO ANIMAL </t>
  </si>
  <si>
    <t>QUEBADRADA LA MIOCA, QUEBRADA GUAQUERA ( DESAGUADERO)</t>
  </si>
  <si>
    <t>COSCUEZ S.A</t>
  </si>
  <si>
    <t>Se calcularon las cargas contaminantes  con base en la autodeclaración presentada por el usuario para el periodo de facturación del año 2020 y para la modificación de la licencia ambiental , se reportan 15 vertimientos en total , de los cuales 14 corresponden a agua residual no domestica y uno a agua residual domestica. V1  Agua Residual Doméstica Q= 0,018  l/s  [DBO]= 390 mg/l [SST]= 172 mg/l ; V2 Agua Residual No Doméstica Q=  10,411 l/s  [DBO]= 12 mg/l [SST]= 2135 mg/l, V3 Q=2,9 l/s  [DBO]= 11 mg/l [SST]= 145, V4  Q=  0,19 l/s  [DBO]= 9 mg/l [SST]= 30,V5=0,0688 l/S  [DBO]= 13 mg/l [SST]= 15,V6 Q=0,384 l/s  [DBO]= 11 mg/l [SST]= 685 mg/l ; V7 Q=0,07 l/s  [DBO]= 6 mg/l [SST]=103;V8 Q=0,334 l/s  [DBO]= 10 mg/l [SST]=151; V9 Q=0,208 l/s  [DBO]= 7 mg/l [SST]=33 mg/l,V10 Q=0,042 l/s  [DBO]= 9 mg/l [SST]=29 mg/l; V11 Q=0,207 l/s  [DBO]= 20 mg/l [SST]=15 mg/l;V12 Q=0,698 l/s  [DBO]= 9 mg/l [SST]=207 l/s, V 13 Q=0,029 l/s  [DBO]= 26 mg/l [SST]=74 mg/l; V 14 Q=0,065 l/s  [DBO]= 12 mg/l [SST]=144 mg/l</t>
  </si>
  <si>
    <t>QUEBRADA CHORRO HONDO Y QUEBRADA TAMBRIAS</t>
  </si>
  <si>
    <t>ORMICOL CI S.A</t>
  </si>
  <si>
    <t>Se calcularon las cargass contaminantes con la información presentada por el formulario de solicitud de permiso de vertimiento V1  Agua Residual No Doméstica Q= 8  l/s  [DBO]= 7 mg/l [SST]= 120 mg/l</t>
  </si>
  <si>
    <t>QUEBRADA N.N ANTES DE CONFLUENCIA CON EL RÍO MINERO</t>
  </si>
  <si>
    <t>Se proyecta la carga contaminante presuntivamente. Una vez se realice mesa de trabajo con el sujeto pasivo, se ajustará el valor de la línea base para el mismo.</t>
  </si>
  <si>
    <t xml:space="preserve">QUEBRADA N.N </t>
  </si>
  <si>
    <t>ESMERALDAS DE COSCUEZ S.A.S - MINA AVENTUREROS</t>
  </si>
  <si>
    <t>ESMERALDAS DE COSCUEZ S.A.S - MINA JERUSALEN</t>
  </si>
  <si>
    <t>MINERÍA AZULEJO MARIPÍ</t>
  </si>
  <si>
    <t>QUEBRADA PIACHE</t>
  </si>
  <si>
    <t>LA MARINA - DORA CECILIA BARRERA</t>
  </si>
  <si>
    <t>PROPUESTA DE META DE CARGA CONTAMINANTE CUENCA RÍO CARARE - MINERO</t>
  </si>
  <si>
    <t>LINEA BASE DE CARGA CONTAMINANTE TRAMO 1 CUENCA RÍO CARARE - MINERO</t>
  </si>
  <si>
    <t>TOTAL LINEA BASE TRAMO 1</t>
  </si>
  <si>
    <t>AÑO 1 (2023)</t>
  </si>
  <si>
    <t>Carga Proyectada DBO5 (Kg/año)</t>
  </si>
  <si>
    <t>Carga Proyectada SST (Kg/año)</t>
  </si>
  <si>
    <t>Carga Permitida DBO5 (Kg/año)</t>
  </si>
  <si>
    <t>Carga Permitida SST (Kg/año)</t>
  </si>
  <si>
    <t>N.A</t>
  </si>
  <si>
    <t>CUENCA</t>
  </si>
  <si>
    <t>TOTAL CARGA CONTAMINANTE AÑO 1</t>
  </si>
  <si>
    <t>METAS DE CARGA CONTAMINANTE TRAMO 1 QUINQUENIO 2023 - 2027</t>
  </si>
  <si>
    <t>TOTAL CARGA CONTAMINANTE AÑO 2</t>
  </si>
  <si>
    <t>AÑO 2 (2024)</t>
  </si>
  <si>
    <t>AÑO 3 (2025)</t>
  </si>
  <si>
    <t>TOTAL CARGA CONTAMINANTE AÑO 3</t>
  </si>
  <si>
    <t>AÑO 4 (2026)</t>
  </si>
  <si>
    <t>TOTAL CARGA CONTAMINANTE AÑO 4</t>
  </si>
  <si>
    <t>AÑO 5 (2027)</t>
  </si>
  <si>
    <t>TOTAL CARGA CONTAMINANTE AÑO 5</t>
  </si>
  <si>
    <t xml:space="preserve">Para el cálculo de la carga contaminante, se determinó mediante la producción per cápita (PPC) sugerida para poblaciones, en la Sección 2, Artículo 169, Parágrafo 2, Tabla 24 de la Resolución 0330 de 2017 y con la proyección de la Población por lo métodos del RAS contenidos en el documentos PSMV. </t>
  </si>
  <si>
    <t xml:space="preserve">Para el cálculo de la carga contaminante, se determinó mediante la producción per cápita (PPC) sugerida para poblaciones, en la Sección 2, Artículo 169, Parágrafo 2, Tabla 24 de la Resolución 0330 de 2017 y con la proyección de la Población del RAS contenida en el documento PSMV. </t>
  </si>
  <si>
    <t>Para el cálculo de la carga contaminante, se determinó mediante la producción per cápita (PPC) sugerida para poblaciones, en la Sección 2, Artículo 169, Parágrafo 2, Tabla 24 de la Resolución 0330 de 2017 y con la proyección de la Población del RAS contenida en el documento PSMV.</t>
  </si>
  <si>
    <t>Para el cálculo de la carga contaminante, se determinó mediante la producción per cápita (PPC) sugerida para poblaciones, en la Sección 2, Artículo 169, Parágrafo 2, Tabla 24 de la Resolución 0330 de 2017 y con la proyección de la Población del RAS contenida en el documento PSMV. Se exige remoción del 30 % conforme al documento PSMV presentado por el usuario.</t>
  </si>
  <si>
    <r>
      <t xml:space="preserve">Se calcularon las cargas contaminantes con base en la </t>
    </r>
    <r>
      <rPr>
        <b/>
        <sz val="10"/>
        <color theme="1"/>
        <rFont val="Leelawadee UI"/>
        <family val="2"/>
      </rPr>
      <t>autodeclaración presentada por el usuario y se exige remoción conforme al cumplimiento de los límites máximos permitidos por la Resolución 631 de 2015 expedida por el Ministerio de Ambiente y Desarrollo Sostenible 2021</t>
    </r>
    <r>
      <rPr>
        <sz val="10"/>
        <color theme="1"/>
        <rFont val="Leelawadee UI"/>
        <family val="2"/>
      </rPr>
      <t>: V1 Rampa JD Q= 0,053  l/s  [DBO]= 6 mg/l [SST]= 50 mg/l ; V2 Clavada Q=   0,343 l/s  [DBO]= 4 mg/l [SST]= 49 mg/l ; V3 Cuarto de Lavado Q= 0,047  l/s  [DBO]= 50 mg/l [SST]= 50 mg/l ; V4 Rampa CB Q=  0,033 l/s  [DBO]= 4 mg/l [SST]= 50 mg/l; V5 Rampa VC Q= 0,331  l/s  [DBO]= 12 mg/l [SST]= 50 mg/l; V6 PTAR Naranjos Q= 0,03 l/s  [DBO]= 90 mg/l [SST]= 90 mg/l V7 PTAR Volvere Q=  0,045 l/s  [DBO]=90 mg/l [SST]= 32 mg/l ; Autodeclaración 2020 V8 Mina Catedral Q= 5,594 l/s  [DBO]= 8 mg/l [SST]= 15 mg/l V9 PTAR Volvere Bajo Q= 0,94 l/s  [DBO]=90 mg/l [SST]= 90 mg/l</t>
    </r>
  </si>
  <si>
    <r>
      <t xml:space="preserve">Se proyecta la carga con información contenida en el formato de visita del 2018 y la carga con respecto a las concentraciones máximas permitidas por el </t>
    </r>
    <r>
      <rPr>
        <b/>
        <sz val="10"/>
        <color theme="1"/>
        <rFont val="Leelawadee UI"/>
        <family val="2"/>
      </rPr>
      <t>Artículo 10 Extracción de Minerales de Otras Minas y Canteras Resolución 631 de 2015 (expedida por el Ministerio de Ambiente y Desarrollo Sostenible)</t>
    </r>
    <r>
      <rPr>
        <sz val="10"/>
        <color theme="1"/>
        <rFont val="Leelawadee UI"/>
        <family val="2"/>
      </rPr>
      <t xml:space="preserve"> para Sólidos Suspendidos Totales y Demanda Bioquímica de Oxígeno DBO5.</t>
    </r>
  </si>
  <si>
    <t>Se proyecta la carga con información contenida en el concepto técnico de evaluación ambiental para licencia ambiental  No 20870 de fecha 15 de diciembre de 2020 del expediente OOLA-00017-19; con respecto al caudal y frecuencia autorizada. Q = 1 l/s Frecuencia: 24 horas/día - 30 días/mes Tipo: Continuo</t>
  </si>
  <si>
    <t>Se proyecta la carga conforme a la caracterización de la actividad similar ""</t>
  </si>
  <si>
    <t xml:space="preserve">Para el cálculo de la carga contaminante, se determinó mediante la producción per cápita (PPC) sugerida para poblaciones, en la Sección 2, Artículo 169, Parágrafo 2, Tabla 24 de la Resolución 0330 de 2017 y con la proyección de la Población establecida en el documento PSMV actualización. </t>
  </si>
  <si>
    <t xml:space="preserve">Se calcularon las cargas contaminantes con base en la autodeclaración presentada por el usuario y se exige remoción conforme al cumplimiento de los límites máximos permitidos por la Resolución 631 de 2015 expedida por el Ministerio de Ambiente y Desarrollo Sostenible 2021: V1 MINA AMARILLA Q= 3,77  l/s  [DBO]= 12 mg/l [SST]= 50 mg/l ; V2 MINA DIVINO NIÑO Q= 0,071 l/s  [DBO]= 18 mg/l [SST]= 15 mg/l ; V3 MINA ARROYITO Q= 0,011  l/s  [DBO]= 23 mg/l [SST]= 16 mg/l ; V4 MINA EL BENDECIDO Q= 0,016 l/s  [DBO]= 9 mg/l [SST]= 15 mg/l; V5 MINA SORPRESA Q= 0,16  l/s  [DBO]= 10 mg/l [SST]= 15 mg/l; V6 MINA TESORO Q= 0,018 l/s  [DBO]= 13 mg/l [SST]= 15 mg/l </t>
  </si>
  <si>
    <t xml:space="preserve">Se calcularon las cargas contaminantes con base en la autodeclaración presentada por el usuario: V1 MINA AMARILLA Q= 3,77  l/s  [DBO]= 12 mg/l [SST]= 61 mg/l ; V2 MINA DIVINO NIÑO Q= 0,071 l/s  [DBO]= 18 mg/l [SST]= 15 mg/l ; V3 MINA ARROYITO Q= 0,011  l/s  [DBO]= 23 mg/l [SST]= 16 mg/l ; V4 MINA EL BENDECIDO Q= 0,016 l/s  [DBO]= 9 mg/l [SST]= 15 mg/l; V5 MINA SORPRESA Q= 0,16  l/s  [DBO]= 10 mg/l [SST]= 15 mg/l; V6 MINA TESORO Q= 0,018 l/s  [DBO]= 13 mg/l [SST]= 15 mg/l </t>
  </si>
  <si>
    <t xml:space="preserve">Para el cálculo de la carga contaminante, se determinó mediante la producción per cápita (PPC) sugerida para poblaciones, en la Sección 2, Artículo 169, Parágrafo 2, Tabla 24 de la Resolución 0330 de 2017 y con la proyección de la Población contenida en el documento PSMV presentado por el usuario. </t>
  </si>
  <si>
    <t>Para el cálculo de la carga contaminante, se determinó mediante la producción per cápita (PPC) sugerida para poblaciones, en la Sección 2, Artículo 169, Parágrafo 2, Tabla 24 de la Resolución 0330 de 2017 y con la proyección de la Población contenida en el documento PSMV presentado por el usuario. Se asigna remoción del 80% conforme a la propuesta del PSMV</t>
  </si>
  <si>
    <t>LINEA BASE DE CARGA CONTAMINANTE TRAMO 2 CUENCA RÍO CARARE - MINERO</t>
  </si>
  <si>
    <t>TOTAL LINEA BASE TRAMO 2</t>
  </si>
  <si>
    <t xml:space="preserve"> AÑO 0 (2022)</t>
  </si>
  <si>
    <t>AÑO 0 (2022)</t>
  </si>
  <si>
    <t xml:space="preserve">Para el cálculo de la carga contaminante, se determinó mediante la producción per cápita (PPC) sugerida para poblaciones, en la Sección 2, Artículo 169, Parágrafo 2, Tabla 24 de la Resolución 0330 de 2017 y con la proyección de la Población nivel municipal 2018-2023 del DANE. </t>
  </si>
  <si>
    <t>Para el cálculo de la carga contaminante, se determinó mediante la producción per cápita (PPC) sugerida para poblaciones, en la Sección 2, Artículo 169, Parágrafo 2, Tabla 24 de la Resolución 0330 de 2017 y  con la proyección de la Población nivel municipal 2018-2023 del DANE. Se asigna remoción del 50 % conforme al PSMV aprobado mediante la Resolución 842 del 23 de febrero de 2015.</t>
  </si>
  <si>
    <t>Para el cálculo de la carga contaminante, se determinó mediante la producción per cápita (PPC) sugerida para poblaciones, en la Sección 2, Artículo 169, Parágrafo 2, Tabla 24 de la Resolución 0330 de 2017 y  con la proyección de la Población nivel municipal 2018-2023 del DANE. Se asigna remoción del 80 % conforme al PSMV aprobado mediante la Resolución 842 del 23 de febrero de 2015.</t>
  </si>
  <si>
    <t>Para el cálculo de la carga contaminante, se determinó mediante la producción per cápita (PPC) sugerida para poblaciones, en la Sección 2, Artículo 169, Parágrafo 2, Tabla 24 de la Resolución 0330 de 2017 y  con la proyección de la Población nivel municipal 2018-2023 del DANE. Se asigna remoción del 90 % conforme al PSMV aprobado mediante la Resolución 842 del 23 de febrero de 2015.</t>
  </si>
  <si>
    <t>Tienen PSMV aprobado mediante resolución 4614 del 30 de diciembre de 2019 , la fuente receptora del vertimeinto es la quebrada Tambrías.Para la proyección de cargas se realizó conforme a la proyección conetenida en el documento PSMV</t>
  </si>
  <si>
    <t xml:space="preserve">Se proyecta la carga conforme a la información Resultados de visita técnica realizada por Corpoboyacá el día 29 de enero de 2019. Expediente </t>
  </si>
  <si>
    <t>Para el cálculo de la carga contaminante, se determinó mediante la producción per cápita (PPC) sugerida para poblaciones, en la Sección 2, Artículo 169, Parágrafo 2, Tabla 24 de la Resolución 0330 de 2017 y con la proyección de la Población nivel municipal 2018-2023 del DANE.</t>
  </si>
  <si>
    <t xml:space="preserve">Se calcularon las cargass contaminantes con la información presentada por el formulario de solicitud de permiso de vertimiento V1  Agua Residual No Doméstica Q= 8  l/s  [DBO]= 7 mg/l [SST]= 120 mg/l. Se exige remoción del 42% para el parámetro SST en cumplimiento del artículo 10  Extracción de Minerales de Otras Minas y Canteras Resolución 631 de 2015 (expedida por el Ministerio de Ambiente y Desarrollo Sostenible) </t>
  </si>
  <si>
    <t>Se proyecta la carga conforme a la información Resultados de visita técnica realizada por Corpoboyacá el día 29 de enero de 2019. Expediente OOPV-00013-18 Se proyecta remoción de 80,5 % para el parámetro DBO5 y 45,6% para el parámetro SST, en cumplimiento de la Resolución 631 de 2015 artículo 9. ACTIVIDADES PRODUCTIVAS DE AGROINDUSTRIA Y GANADERÍA.</t>
  </si>
  <si>
    <t>Se proyecta la carga contaminante conforme a la propuesta de meta de carga contaminantre presentada por el usuario mediante el Radicado 013714 del 09 de junio de 2022 Q=2 L/S DBO5=50 mg/l SST=50 mg/l</t>
  </si>
  <si>
    <t>Se proyecta la carga de acuerdo a la propuesta presentada por el usuario mediante radicado 15553 de fecha 5 de julio de 2022.</t>
  </si>
  <si>
    <t>Se proyecta la carga de acuerdo a la propuesta presentada por el usuario mediante radicado 15553 de fecha 5 de julio de 2022. Remoción DBO5 20 % y SST el 74%</t>
  </si>
  <si>
    <t>Se proyecta la carga de acuerdo a la propuesta presentada por el usuario mediante radicado 15553 de fecha 5 de julio de 2022. Remoción DBO5 20% y SST el 74%</t>
  </si>
  <si>
    <t>Se proyecta la carga contaminante en cumplimiento del artículo 10 Extracción de Minerales de Otras Minas y Canteras Resolución 631 de 2015 (expedida por el Ministerio de Ambiente y Desarrollo Sostenible) para Sólidos Suspendidos Totales y Demanda Bioquímica de Oxígeno DBO5.</t>
  </si>
  <si>
    <t>Se proyecta la carga con información contenida en el expediente OOLA-00012-04 y en cumplimientos del Artículo 10 Extracción de Minerales de Otras Minas y Canteras Resolución 631 de 2015 (expedida por el Ministerio de Ambiente y Desarrollo Sostenible) para Sólidos Suspendidos Totales y Demanda Bioquímica de Oxígeno DBO5.</t>
  </si>
  <si>
    <t>Tramo</t>
  </si>
  <si>
    <t>Usuario</t>
  </si>
  <si>
    <t>VERTIMIENTOS A ELIMINAR PRIMER QUINQUENIO</t>
  </si>
  <si>
    <t>Vertimientos a eliminar en el quinquenio</t>
  </si>
  <si>
    <t>Vertimientos al final del quinquenio</t>
  </si>
  <si>
    <t>Observaciones</t>
  </si>
  <si>
    <t>Coper</t>
  </si>
  <si>
    <t>PSMV</t>
  </si>
  <si>
    <t>La victoria</t>
  </si>
  <si>
    <t>Quípama</t>
  </si>
  <si>
    <t xml:space="preserve">Muzo </t>
  </si>
  <si>
    <t>Propuesta Corpoboyacá</t>
  </si>
  <si>
    <t>Maripí</t>
  </si>
  <si>
    <t>Pauna</t>
  </si>
  <si>
    <t>San Pablo de Borbur</t>
  </si>
  <si>
    <t>Propuesta usuario</t>
  </si>
  <si>
    <t>San Pablo Borbur C.P. San Martin</t>
  </si>
  <si>
    <t>San Pablo Borbur C.P. Santa Barbara</t>
  </si>
  <si>
    <t>Briceño</t>
  </si>
  <si>
    <t>Tununguá</t>
  </si>
  <si>
    <t>Otanche</t>
  </si>
  <si>
    <t>Para el cálculo de la carga contaminante, se determinó mediante la producción per cápita (PPC) sugerida para poblaciones, en la Sección 2, Artículo 169, Parágrafo 2, Tabla 24 de la Resolución 0330 de 2017 y con la proyección de la Población del RAS contenida en el documento PSMV. Se asigna remoción gradual del 60 % para ambos  parámetros conforme a la remoción presentada en el documento PSMV, además el municipio cuenta con sistema de tratamiento.</t>
  </si>
  <si>
    <t>Para el cálculo de la carga contaminante, se determinó mediante la producción per cápita (PPC) sugerida para poblaciones, en la Sección 2, Artículo 169, Parágrafo 2, Tabla 24 de la Resolución 0330 de 2017 y con la proyección de la Población del RAS contenida en el documento PSMV. Se asigna remoción gradual del 85 % para ambos  parámetros conforme al cumplimiento de la Resolución 631 de 2015,</t>
  </si>
  <si>
    <t>Para el cálculo de la carga contaminante, se determinó mediante la producción per cápita (PPC) sugerida para poblaciones, en la Sección 2, Artículo 169, Parágrafo 2, Tabla 24 de la Resolución 0330 de 2017 y con la proyección de la Población nivel municipal 2018-2023 del DANE. Se proyecta remoción del 87,2 % para el parámetro DBO5 y de 85 % para el parámetro SST. Las remociones obedecen a las propuestas en el documento PSMV.</t>
  </si>
  <si>
    <t>Para el cálculo de la carga contaminante, se determinó mediante la producción per cápita (PPC) sugerida para poblaciones, en la Sección 2, Artículo 169, Parágrafo 2, Tabla 24 de la Resolución 0330 de 2017 y con la proyección de la Población por lo métodos del RAS contenidos en el documentos PSMV. Se asigna remoción del 86 % para ambos parámetros conforme a lo establecido en el documento PSMV para el vertimiento del sector Hospital.</t>
  </si>
  <si>
    <t>SOCIEDAD MINERA EL ENCANTO S.A.S</t>
  </si>
  <si>
    <t>Para el cálculo de la carga contaminante, se determinó mediante la producción per cápita (PPC) sugerida para poblaciones, en la Sección 2, Artículo 169, Parágrafo 2, Tabla 24 de la Resolución 0330 de 2017 y con la proyección de la Población del RAS contenida en el documento PSMV. Se exige remoción del 60 % conforme al documento PSMV presentado por el usuario.</t>
  </si>
  <si>
    <t xml:space="preserve">Para el cálculo de la carga contaminante, se determinó mediante la producción per cápita (PPC) sugerida para poblaciones, en la Sección 2, Artículo 169, Parágrafo 2, Tabla 24 de la Resolución 0330 de 2017 y con la proyección de la Población nivel municipal 2018-2023 del DANE. Se proyecta remoción del 85 % para ambos parámetros conforme al contenido de la Resolución de aprobación del PSMV del Municipio de Tununguá, Res. 3570 del 23 de diciembre de 2014. </t>
  </si>
  <si>
    <t>Vertimientos actuales</t>
  </si>
  <si>
    <t>QUEBRADA RÍO GUAZO</t>
  </si>
  <si>
    <t>TRITURADORA LA VEGA E.U.</t>
  </si>
  <si>
    <t>Se calcularon las cargas conforme al caudal otorgado en la concesion de aguas superficiales, incluida en la liccencia ambiental.Q=3,031 L/S, con unas concentraciones de DBO5=50 mg/L y SST =50 Mg/L de acuerdo a la resolución 631 de 2015.</t>
  </si>
  <si>
    <t>Para el cálculo de la carga contaminante, se determinó mediante la producción per cápita (PPC) sugerida para poblaciones, en la Sección 2, Artículo 169, Parágrafo 2, Tabla 24 de la Resolución 0330 de 2017 y con la proyección de la Población establecida en el documento PSMV actualización. Se proyecta remoción del 80 % a partir del año 3 (2025) del quinquenio de acuerdo al horizonte de planificación establecido en la nueva formulación del PSMV del municipio</t>
  </si>
  <si>
    <t>Para el cálculo de la carga contaminante, se determinó mediante la producción per cápita (PPC) sugerida para poblaciones, en la Sección 2, Artículo 169, Parágrafo 2, Tabla 24 de la Resolución 0330 de 2017 y con la proyección de la Población por lo métodos del RAS contenidos en el documentos PSMV. Se proyecta remoción del 50 % para ambos parámetros conforme a las observaciones presentadas en la etapa de consulta pública y comentarios del proceso de metas de carga contaminante.</t>
  </si>
  <si>
    <t>Para el cálculo de la carga contaminante, se determinó mediante la producción per cápita (PPC) sugerida para poblaciones, en la Sección 2, Artículo 169, Parágrafo 2, Tabla 24 de la Resolución 0330 de 2017 y con la proyección de la Población nivel municipal 2018-2023 del DAN. Se asigna remoción del 60 % para ambos parámetros conforme a la observación presentada por el municipio de Pauna en la etapa de consulta pública y comentarios del proceso de metas de carga contaminante.</t>
  </si>
  <si>
    <t>Para el cálculo de la carga contaminante, se determinó mediante la producción per cápita (PPC) sugerida para poblaciones, en la Sección 2, Artículo 169, Parágrafo 2, Tabla 24 de la Resolución 0330 de 2017 y con la proyección de la Población nivel municipal 2018-2023 del DAN. Se asigna remoción del 70 % para ambos parámetros conforme a la observación presentada por el municipio de Pauna en la etapa de consulta pública y comentarios del proceso de metas de carga contaminante.</t>
  </si>
  <si>
    <t xml:space="preserve">Para el cálculo de la carga contaminante, se determinó mediante la producción per cápita (PPC) sugerida para poblaciones, en la Sección 2, Artículo 169, Parágrafo 2, Tabla 24 de la Resolución 0330 de 2017 y para la proyección de población del casco urbano se tomó la infromación del Plan de Desarrollo San Pablo de Borbur Boyacá 2008 - 2011; teniendo en cuanta la proyección del año 2020 y posteriormente se calculó la Proyeccion de poblacion mediante el metodo exponencial y geométrico. Se proyecta remoción del 50 % de acuerdo a la observación presentada por el usuario en la etapa de consulta publica y comentarios, dicha remoción permite el cumplimiento del objetivo de calidad a mediano plazo. </t>
  </si>
  <si>
    <t>Para el cálculo de la carga contaminante, se determinó mediante la producción per cápita (PPC) sugerida para poblaciones, en la Sección 2, Artículo 169, Parágrafo 2, Tabla 24 de la Resolución 0330 de 2017 y con la proyección de la Población nivel municipal 2018-2023 del DAN. Se asigna remoción del 80 % para ambos parámetros conforme a la observación presentada por el municipio de Pauna en la etapa de consulta pública y comentarios del proceso de metas de carga contaminante.</t>
  </si>
  <si>
    <t>REMOCIÓN SST</t>
  </si>
  <si>
    <t>REMOCIÓN DBO</t>
  </si>
  <si>
    <t>PROYECCIÓN DIARIA SIN REMOCIÓN</t>
  </si>
  <si>
    <t>CARGA ANUAL PROYECTADA SIN REMOCIÓN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</si>
</sst>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0"/>
      <name val="Arial"/>
      <family val="2"/>
    </font>
    <font>
      <sz val="7"/>
      <color theme="1"/>
      <name val="Leelawadee UI"/>
      <family val="2"/>
    </font>
    <font>
      <sz val="10"/>
      <color theme="1"/>
      <name val="Leelawadee UI"/>
      <family val="2"/>
    </font>
    <font>
      <b/>
      <sz val="10"/>
      <color theme="1"/>
      <name val="Leelawadee UI"/>
      <family val="2"/>
    </font>
    <font>
      <b/>
      <vertAlign val="subscript"/>
      <sz val="10"/>
      <color theme="1"/>
      <name val="Leelawadee UI"/>
      <family val="2"/>
    </font>
    <font>
      <u val="single"/>
      <sz val="11"/>
      <color theme="10"/>
      <name val="Calibri"/>
      <family val="2"/>
      <scheme val="minor"/>
    </font>
    <font>
      <sz val="10"/>
      <color theme="1"/>
      <name val="Arial"/>
      <family val="2"/>
    </font>
    <font>
      <b/>
      <sz val="20"/>
      <color theme="1"/>
      <name val="Leelawadee UI"/>
      <family val="2"/>
    </font>
    <font>
      <b/>
      <sz val="12"/>
      <color theme="1"/>
      <name val="Leelawadee UI"/>
      <family val="2"/>
    </font>
    <font>
      <b/>
      <sz val="14"/>
      <color theme="1"/>
      <name val="Leelawadee UI"/>
      <family val="2"/>
    </font>
    <font>
      <b/>
      <sz val="10"/>
      <color rgb="FF000000"/>
      <name val="Arial"/>
      <family val="2"/>
    </font>
    <font>
      <sz val="10"/>
      <color rgb="FF000000"/>
      <name val="Arial"/>
      <family val="2"/>
    </font>
    <font>
      <sz val="18"/>
      <color theme="1"/>
      <name val="Leelawadee UI"/>
      <family val="2"/>
    </font>
  </fonts>
  <fills count="10">
    <fill>
      <patternFill/>
    </fill>
    <fill>
      <patternFill patternType="gray125"/>
    </fill>
    <fill>
      <patternFill patternType="solid">
        <fgColor theme="9" tint="0.7999799847602844"/>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3" tint="0.7999799847602844"/>
        <bgColor indexed="64"/>
      </patternFill>
    </fill>
    <fill>
      <patternFill patternType="solid">
        <fgColor rgb="FFDCBDEF"/>
        <bgColor indexed="64"/>
      </patternFill>
    </fill>
    <fill>
      <patternFill patternType="solid">
        <fgColor theme="4" tint="0.5999900102615356"/>
        <bgColor indexed="64"/>
      </patternFill>
    </fill>
  </fills>
  <borders count="24">
    <border>
      <left/>
      <right/>
      <top/>
      <bottom/>
      <diagonal/>
    </border>
    <border>
      <left style="medium"/>
      <right style="medium"/>
      <top style="medium"/>
      <bottom style="medium"/>
    </border>
    <border>
      <left/>
      <right style="medium"/>
      <top style="medium"/>
      <bottom style="medium"/>
    </border>
    <border>
      <left/>
      <right/>
      <top style="medium"/>
      <bottom style="medium"/>
    </border>
    <border>
      <left style="medium"/>
      <right style="medium"/>
      <top/>
      <bottom style="medium"/>
    </border>
    <border>
      <left style="medium"/>
      <right/>
      <top/>
      <bottom style="medium"/>
    </border>
    <border>
      <left/>
      <right/>
      <top/>
      <bottom style="medium"/>
    </border>
    <border>
      <left style="medium"/>
      <right/>
      <top style="medium"/>
      <bottom style="medium"/>
    </border>
    <border>
      <left style="medium">
        <color rgb="FF000000"/>
      </left>
      <right style="medium">
        <color rgb="FF000000"/>
      </right>
      <top style="medium">
        <color rgb="FF000000"/>
      </top>
      <bottom style="medium">
        <color rgb="FF000000"/>
      </bottom>
    </border>
    <border>
      <left style="thin"/>
      <right style="thin"/>
      <top style="thin"/>
      <bottom style="thin"/>
    </border>
    <border>
      <left style="medium"/>
      <right style="medium"/>
      <top style="medium"/>
      <bottom/>
    </border>
    <border>
      <left/>
      <right style="medium"/>
      <top style="medium"/>
      <bottom/>
    </border>
    <border>
      <left style="medium"/>
      <right style="medium"/>
      <top/>
      <bottom/>
    </border>
    <border>
      <left/>
      <right style="medium"/>
      <top/>
      <bottom style="medium"/>
    </border>
    <border>
      <left style="medium"/>
      <right/>
      <top style="medium"/>
      <bottom/>
    </border>
    <border>
      <left/>
      <right/>
      <top style="medium"/>
      <bottom/>
    </border>
    <border>
      <left style="medium"/>
      <right/>
      <top/>
      <bottom/>
    </border>
    <border>
      <left/>
      <right style="medium"/>
      <top/>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medium">
        <color rgb="FF000000"/>
      </left>
      <right style="medium">
        <color rgb="FF000000"/>
      </right>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cellStyleXfs>
  <cellXfs count="249">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4" fontId="2" fillId="0" borderId="0" xfId="0" applyNumberFormat="1" applyFont="1" applyAlignment="1">
      <alignment horizontal="center"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0" xfId="0" applyFont="1" applyAlignment="1">
      <alignment horizontal="left" vertical="center" wrapText="1"/>
    </xf>
    <xf numFmtId="4" fontId="3" fillId="0" borderId="2" xfId="0" applyNumberFormat="1" applyFont="1" applyBorder="1" applyAlignment="1">
      <alignment horizontal="left" vertical="center" wrapText="1"/>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3" xfId="0" applyFont="1" applyFill="1" applyBorder="1" applyAlignment="1">
      <alignment horizontal="center" vertical="center"/>
    </xf>
    <xf numFmtId="4" fontId="10" fillId="3" borderId="1" xfId="0" applyNumberFormat="1" applyFont="1" applyFill="1" applyBorder="1" applyAlignment="1">
      <alignment horizontal="center" vertical="center"/>
    </xf>
    <xf numFmtId="4" fontId="10" fillId="4" borderId="1" xfId="0" applyNumberFormat="1" applyFont="1" applyFill="1" applyBorder="1" applyAlignment="1">
      <alignment horizontal="center" vertical="center"/>
    </xf>
    <xf numFmtId="0" fontId="4" fillId="4" borderId="3" xfId="0" applyFont="1" applyFill="1" applyBorder="1" applyAlignment="1">
      <alignment horizontal="center" vertical="center"/>
    </xf>
    <xf numFmtId="4" fontId="10" fillId="5" borderId="1" xfId="0" applyNumberFormat="1" applyFont="1" applyFill="1" applyBorder="1" applyAlignment="1">
      <alignment horizontal="center" vertical="center"/>
    </xf>
    <xf numFmtId="0" fontId="4" fillId="5" borderId="3" xfId="0" applyFont="1" applyFill="1" applyBorder="1" applyAlignment="1">
      <alignment horizontal="center" vertical="center"/>
    </xf>
    <xf numFmtId="4" fontId="10" fillId="6" borderId="1" xfId="0" applyNumberFormat="1" applyFont="1" applyFill="1" applyBorder="1" applyAlignment="1">
      <alignment horizontal="center" vertical="center"/>
    </xf>
    <xf numFmtId="0" fontId="4" fillId="6" borderId="3" xfId="0" applyFont="1" applyFill="1" applyBorder="1" applyAlignment="1">
      <alignment horizontal="center" vertical="center"/>
    </xf>
    <xf numFmtId="0" fontId="2" fillId="0" borderId="0" xfId="0" applyFont="1" applyFill="1" applyAlignment="1">
      <alignment vertical="center"/>
    </xf>
    <xf numFmtId="4" fontId="3" fillId="0" borderId="1" xfId="0" applyNumberFormat="1"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4" fontId="4" fillId="2" borderId="4"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7" xfId="0" applyFont="1" applyFill="1" applyBorder="1" applyAlignment="1">
      <alignment horizontal="center" vertical="center"/>
    </xf>
    <xf numFmtId="0" fontId="3" fillId="2" borderId="7" xfId="0" applyFont="1" applyFill="1" applyBorder="1" applyAlignment="1" quotePrefix="1">
      <alignment horizontal="center" vertical="center"/>
    </xf>
    <xf numFmtId="0" fontId="3" fillId="2" borderId="1" xfId="0" applyFont="1" applyFill="1" applyBorder="1" applyAlignment="1" quotePrefix="1">
      <alignment horizontal="center" vertical="center"/>
    </xf>
    <xf numFmtId="0" fontId="3" fillId="2" borderId="3" xfId="0" applyFont="1" applyFill="1" applyBorder="1" applyAlignment="1" quotePrefix="1">
      <alignment horizontal="center" vertical="center"/>
    </xf>
    <xf numFmtId="4" fontId="3" fillId="2" borderId="1" xfId="0" applyNumberFormat="1" applyFont="1" applyFill="1" applyBorder="1" applyAlignment="1">
      <alignment horizontal="center" vertical="center"/>
    </xf>
    <xf numFmtId="4" fontId="3" fillId="2" borderId="1" xfId="0" applyNumberFormat="1" applyFont="1" applyFill="1" applyBorder="1" applyAlignment="1" quotePrefix="1">
      <alignment horizontal="center" vertical="center"/>
    </xf>
    <xf numFmtId="4" fontId="3" fillId="2" borderId="7" xfId="0" applyNumberFormat="1" applyFont="1" applyFill="1" applyBorder="1" applyAlignment="1">
      <alignment horizontal="center" vertical="center"/>
    </xf>
    <xf numFmtId="4" fontId="3" fillId="2" borderId="1" xfId="0" applyNumberFormat="1" applyFont="1" applyFill="1" applyBorder="1" applyAlignment="1">
      <alignment horizontal="left" vertical="center" wrapText="1"/>
    </xf>
    <xf numFmtId="0" fontId="3" fillId="3" borderId="1"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7" xfId="0" applyFont="1" applyFill="1" applyBorder="1" applyAlignment="1">
      <alignment horizontal="center" vertical="center"/>
    </xf>
    <xf numFmtId="0" fontId="3" fillId="3" borderId="7" xfId="0" applyFont="1" applyFill="1" applyBorder="1" applyAlignment="1" quotePrefix="1">
      <alignment horizontal="center" vertical="center"/>
    </xf>
    <xf numFmtId="0" fontId="3" fillId="3" borderId="1" xfId="0" applyFont="1" applyFill="1" applyBorder="1" applyAlignment="1" quotePrefix="1">
      <alignment horizontal="center" vertical="center"/>
    </xf>
    <xf numFmtId="0" fontId="3" fillId="3" borderId="3" xfId="0" applyFont="1" applyFill="1" applyBorder="1" applyAlignment="1" quotePrefix="1">
      <alignment horizontal="center" vertical="center"/>
    </xf>
    <xf numFmtId="4" fontId="3" fillId="3" borderId="1" xfId="0" applyNumberFormat="1" applyFont="1" applyFill="1" applyBorder="1" applyAlignment="1">
      <alignment horizontal="center" vertical="center"/>
    </xf>
    <xf numFmtId="4" fontId="3" fillId="3" borderId="1" xfId="0" applyNumberFormat="1" applyFont="1" applyFill="1" applyBorder="1" applyAlignment="1" quotePrefix="1">
      <alignment horizontal="center" vertical="center"/>
    </xf>
    <xf numFmtId="4" fontId="3" fillId="3" borderId="7"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3" fillId="4" borderId="7"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4" borderId="7" xfId="0" applyFont="1" applyFill="1" applyBorder="1" applyAlignment="1">
      <alignment horizontal="center" vertical="center"/>
    </xf>
    <xf numFmtId="0" fontId="3" fillId="4" borderId="7" xfId="0" applyFont="1" applyFill="1" applyBorder="1" applyAlignment="1" quotePrefix="1">
      <alignment horizontal="center" vertical="center"/>
    </xf>
    <xf numFmtId="0" fontId="3" fillId="4" borderId="1" xfId="0" applyFont="1" applyFill="1" applyBorder="1" applyAlignment="1" quotePrefix="1">
      <alignment horizontal="center" vertical="center"/>
    </xf>
    <xf numFmtId="0" fontId="3" fillId="4" borderId="3" xfId="0" applyFont="1" applyFill="1" applyBorder="1" applyAlignment="1" quotePrefix="1">
      <alignment horizontal="center" vertical="center"/>
    </xf>
    <xf numFmtId="4" fontId="3" fillId="4" borderId="1" xfId="0" applyNumberFormat="1" applyFont="1" applyFill="1" applyBorder="1" applyAlignment="1">
      <alignment horizontal="center" vertical="center"/>
    </xf>
    <xf numFmtId="4" fontId="3" fillId="4" borderId="1" xfId="0" applyNumberFormat="1" applyFont="1" applyFill="1" applyBorder="1" applyAlignment="1" quotePrefix="1">
      <alignment horizontal="center" vertical="center"/>
    </xf>
    <xf numFmtId="4" fontId="3" fillId="4" borderId="7" xfId="0" applyNumberFormat="1" applyFont="1" applyFill="1" applyBorder="1" applyAlignment="1">
      <alignment horizontal="center" vertical="center"/>
    </xf>
    <xf numFmtId="3" fontId="3" fillId="4" borderId="1" xfId="0" applyNumberFormat="1" applyFont="1" applyFill="1" applyBorder="1" applyAlignment="1">
      <alignment horizontal="center" vertical="center"/>
    </xf>
    <xf numFmtId="0" fontId="3" fillId="5" borderId="1" xfId="0" applyFont="1" applyFill="1" applyBorder="1" applyAlignment="1">
      <alignment horizontal="center" vertical="center"/>
    </xf>
    <xf numFmtId="0" fontId="3" fillId="5" borderId="7"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7" xfId="0" applyFont="1" applyFill="1" applyBorder="1" applyAlignment="1">
      <alignment horizontal="center" vertical="center"/>
    </xf>
    <xf numFmtId="0" fontId="3" fillId="5" borderId="7" xfId="0" applyFont="1" applyFill="1" applyBorder="1" applyAlignment="1" quotePrefix="1">
      <alignment horizontal="center" vertical="center"/>
    </xf>
    <xf numFmtId="0" fontId="3" fillId="5" borderId="1" xfId="0" applyFont="1" applyFill="1" applyBorder="1" applyAlignment="1" quotePrefix="1">
      <alignment horizontal="center" vertical="center"/>
    </xf>
    <xf numFmtId="0" fontId="3" fillId="5" borderId="3" xfId="0" applyFont="1" applyFill="1" applyBorder="1" applyAlignment="1" quotePrefix="1">
      <alignment horizontal="center" vertical="center"/>
    </xf>
    <xf numFmtId="4" fontId="3" fillId="5" borderId="1" xfId="0" applyNumberFormat="1" applyFont="1" applyFill="1" applyBorder="1" applyAlignment="1">
      <alignment horizontal="center" vertical="center"/>
    </xf>
    <xf numFmtId="4" fontId="3" fillId="5" borderId="1" xfId="0" applyNumberFormat="1" applyFont="1" applyFill="1" applyBorder="1" applyAlignment="1" quotePrefix="1">
      <alignment horizontal="center" vertical="center"/>
    </xf>
    <xf numFmtId="4" fontId="3" fillId="5" borderId="7" xfId="0" applyNumberFormat="1" applyFont="1" applyFill="1" applyBorder="1" applyAlignment="1">
      <alignment horizontal="center" vertical="center"/>
    </xf>
    <xf numFmtId="3" fontId="3" fillId="5" borderId="1" xfId="0" applyNumberFormat="1" applyFont="1" applyFill="1" applyBorder="1" applyAlignment="1">
      <alignment horizontal="center" vertical="center"/>
    </xf>
    <xf numFmtId="0" fontId="3" fillId="6" borderId="1" xfId="0" applyFont="1" applyFill="1" applyBorder="1" applyAlignment="1">
      <alignment horizontal="center" vertical="center"/>
    </xf>
    <xf numFmtId="0" fontId="3" fillId="6" borderId="7" xfId="0" applyFont="1" applyFill="1" applyBorder="1" applyAlignment="1">
      <alignment horizontal="center" vertical="center" wrapText="1"/>
    </xf>
    <xf numFmtId="0" fontId="3" fillId="6" borderId="1" xfId="0" applyFont="1" applyFill="1" applyBorder="1" applyAlignment="1">
      <alignment horizontal="left" vertical="center" wrapText="1"/>
    </xf>
    <xf numFmtId="0" fontId="3" fillId="6" borderId="7" xfId="0" applyFont="1" applyFill="1" applyBorder="1" applyAlignment="1">
      <alignment horizontal="center" vertical="center"/>
    </xf>
    <xf numFmtId="0" fontId="3" fillId="6" borderId="7" xfId="0" applyFont="1" applyFill="1" applyBorder="1" applyAlignment="1" quotePrefix="1">
      <alignment horizontal="center" vertical="center"/>
    </xf>
    <xf numFmtId="0" fontId="3" fillId="6" borderId="1" xfId="0" applyFont="1" applyFill="1" applyBorder="1" applyAlignment="1" quotePrefix="1">
      <alignment horizontal="center" vertical="center"/>
    </xf>
    <xf numFmtId="0" fontId="3" fillId="6" borderId="3" xfId="0" applyFont="1" applyFill="1" applyBorder="1" applyAlignment="1" quotePrefix="1">
      <alignment horizontal="center" vertical="center"/>
    </xf>
    <xf numFmtId="4" fontId="3" fillId="6" borderId="1" xfId="0" applyNumberFormat="1" applyFont="1" applyFill="1" applyBorder="1" applyAlignment="1">
      <alignment horizontal="center" vertical="center"/>
    </xf>
    <xf numFmtId="4" fontId="3" fillId="6" borderId="1" xfId="0" applyNumberFormat="1" applyFont="1" applyFill="1" applyBorder="1" applyAlignment="1" quotePrefix="1">
      <alignment horizontal="center" vertical="center"/>
    </xf>
    <xf numFmtId="4" fontId="3" fillId="6" borderId="7" xfId="0" applyNumberFormat="1" applyFont="1" applyFill="1" applyBorder="1" applyAlignment="1">
      <alignment horizontal="center" vertical="center"/>
    </xf>
    <xf numFmtId="3" fontId="3" fillId="6" borderId="1" xfId="0" applyNumberFormat="1" applyFont="1" applyFill="1" applyBorder="1" applyAlignment="1">
      <alignment horizontal="center" vertical="center"/>
    </xf>
    <xf numFmtId="0" fontId="3" fillId="7" borderId="1" xfId="0" applyFont="1" applyFill="1" applyBorder="1" applyAlignment="1">
      <alignment horizontal="center" vertical="center"/>
    </xf>
    <xf numFmtId="0" fontId="3" fillId="7" borderId="7"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3" fillId="7" borderId="7" xfId="0" applyFont="1" applyFill="1" applyBorder="1" applyAlignment="1">
      <alignment horizontal="center" vertical="center"/>
    </xf>
    <xf numFmtId="0" fontId="3" fillId="7" borderId="7" xfId="0" applyFont="1" applyFill="1" applyBorder="1" applyAlignment="1" quotePrefix="1">
      <alignment horizontal="center" vertical="center"/>
    </xf>
    <xf numFmtId="0" fontId="3" fillId="7" borderId="1" xfId="0" applyFont="1" applyFill="1" applyBorder="1" applyAlignment="1" quotePrefix="1">
      <alignment horizontal="center" vertical="center"/>
    </xf>
    <xf numFmtId="0" fontId="3" fillId="7" borderId="3" xfId="0" applyFont="1" applyFill="1" applyBorder="1" applyAlignment="1" quotePrefix="1">
      <alignment horizontal="center" vertical="center"/>
    </xf>
    <xf numFmtId="4" fontId="3" fillId="7" borderId="1" xfId="0" applyNumberFormat="1" applyFont="1" applyFill="1" applyBorder="1" applyAlignment="1">
      <alignment horizontal="center" vertical="center"/>
    </xf>
    <xf numFmtId="4" fontId="3" fillId="7" borderId="1" xfId="0" applyNumberFormat="1" applyFont="1" applyFill="1" applyBorder="1" applyAlignment="1" quotePrefix="1">
      <alignment horizontal="center" vertical="center"/>
    </xf>
    <xf numFmtId="4" fontId="3" fillId="7" borderId="7" xfId="0" applyNumberFormat="1" applyFont="1" applyFill="1" applyBorder="1" applyAlignment="1">
      <alignment horizontal="center" vertical="center"/>
    </xf>
    <xf numFmtId="0" fontId="4" fillId="7" borderId="3" xfId="0" applyFont="1" applyFill="1" applyBorder="1" applyAlignment="1">
      <alignment horizontal="center" vertical="center"/>
    </xf>
    <xf numFmtId="3" fontId="3" fillId="7" borderId="1" xfId="0" applyNumberFormat="1" applyFont="1" applyFill="1" applyBorder="1" applyAlignment="1">
      <alignment horizontal="center" vertical="center"/>
    </xf>
    <xf numFmtId="4" fontId="10" fillId="7" borderId="1" xfId="0" applyNumberFormat="1" applyFont="1" applyFill="1" applyBorder="1" applyAlignment="1">
      <alignment horizontal="center" vertical="center"/>
    </xf>
    <xf numFmtId="4" fontId="10" fillId="4" borderId="4" xfId="0" applyNumberFormat="1" applyFont="1" applyFill="1" applyBorder="1" applyAlignment="1">
      <alignment horizontal="center" vertical="center"/>
    </xf>
    <xf numFmtId="4" fontId="10" fillId="5" borderId="4" xfId="0" applyNumberFormat="1" applyFont="1" applyFill="1" applyBorder="1" applyAlignment="1">
      <alignment horizontal="center" vertical="center"/>
    </xf>
    <xf numFmtId="4" fontId="3" fillId="0" borderId="0" xfId="0" applyNumberFormat="1" applyFont="1" applyAlignment="1">
      <alignment horizontal="center" vertical="center"/>
    </xf>
    <xf numFmtId="0" fontId="0" fillId="0" borderId="0" xfId="0" applyFill="1"/>
    <xf numFmtId="4" fontId="3" fillId="0" borderId="2" xfId="0" applyNumberFormat="1" applyFont="1" applyFill="1" applyBorder="1" applyAlignment="1">
      <alignment horizontal="left" vertical="center" wrapText="1"/>
    </xf>
    <xf numFmtId="4" fontId="10" fillId="2" borderId="1" xfId="0" applyNumberFormat="1" applyFont="1" applyFill="1" applyBorder="1" applyAlignment="1">
      <alignment horizontal="center" vertical="center"/>
    </xf>
    <xf numFmtId="4" fontId="9" fillId="2" borderId="1" xfId="0" applyNumberFormat="1" applyFont="1" applyFill="1" applyBorder="1" applyAlignment="1">
      <alignment horizontal="center" vertical="center"/>
    </xf>
    <xf numFmtId="0" fontId="7" fillId="0" borderId="0" xfId="0" applyFont="1"/>
    <xf numFmtId="0" fontId="11" fillId="8" borderId="8" xfId="0" applyFont="1" applyFill="1" applyBorder="1" applyAlignment="1">
      <alignment horizontal="center" vertical="center" wrapText="1" readingOrder="1"/>
    </xf>
    <xf numFmtId="0" fontId="12" fillId="0" borderId="8" xfId="0" applyFont="1" applyBorder="1" applyAlignment="1">
      <alignment horizontal="center" vertical="center" wrapText="1" readingOrder="1"/>
    </xf>
    <xf numFmtId="0" fontId="7" fillId="0" borderId="9" xfId="0" applyFont="1" applyBorder="1" applyAlignment="1">
      <alignment horizontal="left"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2" fontId="3" fillId="2" borderId="1" xfId="0" applyNumberFormat="1" applyFont="1" applyFill="1" applyBorder="1" applyAlignment="1" quotePrefix="1">
      <alignment horizontal="center" vertical="center"/>
    </xf>
    <xf numFmtId="4" fontId="3" fillId="2" borderId="2" xfId="0" applyNumberFormat="1" applyFont="1" applyFill="1" applyBorder="1" applyAlignment="1">
      <alignment horizontal="left" vertical="center" wrapText="1"/>
    </xf>
    <xf numFmtId="4" fontId="3" fillId="2" borderId="12" xfId="0" applyNumberFormat="1" applyFont="1" applyFill="1" applyBorder="1" applyAlignment="1">
      <alignment horizontal="left" vertical="center" wrapText="1"/>
    </xf>
    <xf numFmtId="0" fontId="2" fillId="2" borderId="0" xfId="0" applyFont="1" applyFill="1" applyAlignment="1">
      <alignment vertical="center"/>
    </xf>
    <xf numFmtId="0" fontId="3" fillId="2" borderId="5" xfId="0" applyFont="1" applyFill="1" applyBorder="1" applyAlignment="1" quotePrefix="1">
      <alignment horizontal="center" vertical="center"/>
    </xf>
    <xf numFmtId="0" fontId="3" fillId="2" borderId="1" xfId="0" applyFont="1" applyFill="1" applyBorder="1" applyAlignment="1">
      <alignment horizontal="center" vertical="center" wrapText="1"/>
    </xf>
    <xf numFmtId="2" fontId="3" fillId="5" borderId="1" xfId="0" applyNumberFormat="1" applyFont="1" applyFill="1" applyBorder="1" applyAlignment="1" quotePrefix="1">
      <alignment horizontal="center" vertical="center"/>
    </xf>
    <xf numFmtId="4" fontId="3" fillId="5" borderId="12" xfId="0" applyNumberFormat="1" applyFont="1" applyFill="1" applyBorder="1" applyAlignment="1">
      <alignment horizontal="left" vertical="center" wrapText="1"/>
    </xf>
    <xf numFmtId="0" fontId="2" fillId="5" borderId="0" xfId="0" applyFont="1" applyFill="1" applyAlignment="1">
      <alignment vertical="center"/>
    </xf>
    <xf numFmtId="0" fontId="3" fillId="5" borderId="5" xfId="0" applyFont="1" applyFill="1" applyBorder="1" applyAlignment="1" quotePrefix="1">
      <alignment horizontal="center" vertical="center"/>
    </xf>
    <xf numFmtId="0" fontId="3" fillId="5" borderId="1" xfId="0" applyFont="1" applyFill="1" applyBorder="1" applyAlignment="1">
      <alignment horizontal="center" vertical="center" wrapText="1"/>
    </xf>
    <xf numFmtId="2" fontId="3" fillId="4" borderId="1" xfId="0" applyNumberFormat="1" applyFont="1" applyFill="1" applyBorder="1" applyAlignment="1" quotePrefix="1">
      <alignment horizontal="center" vertical="center"/>
    </xf>
    <xf numFmtId="4" fontId="3" fillId="4" borderId="12" xfId="0" applyNumberFormat="1" applyFont="1" applyFill="1" applyBorder="1" applyAlignment="1">
      <alignment horizontal="left" vertical="center" wrapText="1"/>
    </xf>
    <xf numFmtId="0" fontId="2" fillId="4" borderId="0" xfId="0" applyFont="1" applyFill="1" applyAlignment="1">
      <alignment vertical="center"/>
    </xf>
    <xf numFmtId="0" fontId="3" fillId="4" borderId="5" xfId="0" applyFont="1" applyFill="1" applyBorder="1" applyAlignment="1" quotePrefix="1">
      <alignment horizontal="center" vertical="center"/>
    </xf>
    <xf numFmtId="0" fontId="3" fillId="4" borderId="1" xfId="0" applyFont="1" applyFill="1" applyBorder="1" applyAlignment="1">
      <alignment horizontal="center" vertical="center" wrapText="1"/>
    </xf>
    <xf numFmtId="2" fontId="3" fillId="6" borderId="1" xfId="0" applyNumberFormat="1" applyFont="1" applyFill="1" applyBorder="1" applyAlignment="1" quotePrefix="1">
      <alignment horizontal="center" vertical="center"/>
    </xf>
    <xf numFmtId="4" fontId="3" fillId="6" borderId="12" xfId="0" applyNumberFormat="1" applyFont="1" applyFill="1" applyBorder="1" applyAlignment="1">
      <alignment horizontal="left" vertical="center" wrapText="1"/>
    </xf>
    <xf numFmtId="0" fontId="2" fillId="6" borderId="0" xfId="0" applyFont="1" applyFill="1" applyAlignment="1">
      <alignment vertical="center"/>
    </xf>
    <xf numFmtId="0" fontId="3" fillId="6" borderId="5" xfId="0" applyFont="1" applyFill="1" applyBorder="1" applyAlignment="1" quotePrefix="1">
      <alignment horizontal="center" vertical="center"/>
    </xf>
    <xf numFmtId="0" fontId="3" fillId="6" borderId="1" xfId="0" applyFont="1" applyFill="1" applyBorder="1" applyAlignment="1">
      <alignment horizontal="center" vertical="center" wrapText="1"/>
    </xf>
    <xf numFmtId="4" fontId="10" fillId="6" borderId="4" xfId="0" applyNumberFormat="1" applyFont="1" applyFill="1" applyBorder="1" applyAlignment="1">
      <alignment horizontal="center" vertical="center"/>
    </xf>
    <xf numFmtId="2" fontId="3" fillId="7" borderId="1" xfId="0" applyNumberFormat="1" applyFont="1" applyFill="1" applyBorder="1" applyAlignment="1" quotePrefix="1">
      <alignment horizontal="center" vertical="center"/>
    </xf>
    <xf numFmtId="0" fontId="9" fillId="7" borderId="7" xfId="0" applyFont="1" applyFill="1" applyBorder="1" applyAlignment="1">
      <alignment vertical="center"/>
    </xf>
    <xf numFmtId="0" fontId="9" fillId="7" borderId="3" xfId="0" applyFont="1" applyFill="1" applyBorder="1" applyAlignment="1">
      <alignment vertical="center"/>
    </xf>
    <xf numFmtId="0" fontId="9" fillId="7" borderId="0" xfId="0" applyFont="1" applyFill="1" applyBorder="1" applyAlignment="1">
      <alignment vertical="center"/>
    </xf>
    <xf numFmtId="4" fontId="3" fillId="7" borderId="1" xfId="0" applyNumberFormat="1" applyFont="1" applyFill="1" applyBorder="1" applyAlignment="1">
      <alignment horizontal="left" vertical="center" wrapText="1"/>
    </xf>
    <xf numFmtId="0" fontId="2" fillId="7" borderId="0" xfId="0" applyFont="1" applyFill="1" applyAlignment="1">
      <alignment vertical="center"/>
    </xf>
    <xf numFmtId="0" fontId="3" fillId="7" borderId="5" xfId="0" applyFont="1" applyFill="1" applyBorder="1" applyAlignment="1" quotePrefix="1">
      <alignment horizontal="center" vertical="center"/>
    </xf>
    <xf numFmtId="0" fontId="3" fillId="7" borderId="1" xfId="0" applyFont="1" applyFill="1" applyBorder="1" applyAlignment="1">
      <alignment horizontal="center" vertical="center" wrapText="1"/>
    </xf>
    <xf numFmtId="0" fontId="3" fillId="9" borderId="1" xfId="0" applyFont="1" applyFill="1" applyBorder="1" applyAlignment="1">
      <alignment horizontal="center" vertical="center"/>
    </xf>
    <xf numFmtId="0" fontId="3" fillId="9" borderId="7" xfId="0" applyFont="1" applyFill="1" applyBorder="1" applyAlignment="1">
      <alignment horizontal="center" vertical="center" wrapText="1"/>
    </xf>
    <xf numFmtId="0" fontId="3" fillId="9" borderId="1" xfId="0" applyFont="1" applyFill="1" applyBorder="1" applyAlignment="1">
      <alignment horizontal="left" vertical="center" wrapText="1"/>
    </xf>
    <xf numFmtId="0" fontId="3" fillId="9" borderId="7" xfId="0" applyFont="1" applyFill="1" applyBorder="1" applyAlignment="1">
      <alignment horizontal="center" vertical="center"/>
    </xf>
    <xf numFmtId="0" fontId="3" fillId="9" borderId="7" xfId="0" applyFont="1" applyFill="1" applyBorder="1" applyAlignment="1" quotePrefix="1">
      <alignment horizontal="center" vertical="center"/>
    </xf>
    <xf numFmtId="0" fontId="3" fillId="9" borderId="1" xfId="0" applyFont="1" applyFill="1" applyBorder="1" applyAlignment="1" quotePrefix="1">
      <alignment horizontal="center" vertical="center"/>
    </xf>
    <xf numFmtId="2" fontId="3" fillId="9" borderId="1" xfId="0" applyNumberFormat="1" applyFont="1" applyFill="1" applyBorder="1" applyAlignment="1" quotePrefix="1">
      <alignment horizontal="center" vertical="center"/>
    </xf>
    <xf numFmtId="4" fontId="3" fillId="9" borderId="1" xfId="0" applyNumberFormat="1" applyFont="1" applyFill="1" applyBorder="1" applyAlignment="1">
      <alignment horizontal="center" vertical="center"/>
    </xf>
    <xf numFmtId="4" fontId="3" fillId="9" borderId="1" xfId="0" applyNumberFormat="1" applyFont="1" applyFill="1" applyBorder="1" applyAlignment="1" quotePrefix="1">
      <alignment horizontal="center" vertical="center"/>
    </xf>
    <xf numFmtId="0" fontId="3" fillId="9" borderId="3" xfId="0" applyFont="1" applyFill="1" applyBorder="1" applyAlignment="1" quotePrefix="1">
      <alignment horizontal="center" vertical="center"/>
    </xf>
    <xf numFmtId="4" fontId="3" fillId="9" borderId="7" xfId="0" applyNumberFormat="1" applyFont="1" applyFill="1" applyBorder="1" applyAlignment="1">
      <alignment horizontal="center" vertical="center"/>
    </xf>
    <xf numFmtId="4" fontId="3" fillId="9" borderId="12" xfId="0" applyNumberFormat="1" applyFont="1" applyFill="1" applyBorder="1" applyAlignment="1">
      <alignment horizontal="left" vertical="center" wrapText="1"/>
    </xf>
    <xf numFmtId="0" fontId="2" fillId="9" borderId="0" xfId="0" applyFont="1" applyFill="1" applyAlignment="1">
      <alignment vertical="center"/>
    </xf>
    <xf numFmtId="0" fontId="3" fillId="9" borderId="5" xfId="0" applyFont="1" applyFill="1" applyBorder="1" applyAlignment="1" quotePrefix="1">
      <alignment horizontal="center" vertical="center"/>
    </xf>
    <xf numFmtId="0" fontId="3" fillId="9" borderId="1" xfId="0" applyFont="1" applyFill="1" applyBorder="1" applyAlignment="1">
      <alignment horizontal="center" vertical="center" wrapText="1"/>
    </xf>
    <xf numFmtId="4" fontId="10" fillId="9" borderId="1" xfId="0" applyNumberFormat="1" applyFont="1" applyFill="1" applyBorder="1" applyAlignment="1">
      <alignment horizontal="center" vertical="center"/>
    </xf>
    <xf numFmtId="4" fontId="10" fillId="9" borderId="4" xfId="0" applyNumberFormat="1" applyFont="1" applyFill="1" applyBorder="1" applyAlignment="1">
      <alignment horizontal="center" vertical="center"/>
    </xf>
    <xf numFmtId="0" fontId="11" fillId="0" borderId="8" xfId="0" applyFont="1" applyFill="1" applyBorder="1" applyAlignment="1">
      <alignment horizontal="center" vertical="center" wrapText="1" readingOrder="1"/>
    </xf>
    <xf numFmtId="0" fontId="11" fillId="0" borderId="8" xfId="0" applyFont="1" applyBorder="1" applyAlignment="1">
      <alignment horizontal="center" vertical="center" wrapText="1" readingOrder="1"/>
    </xf>
    <xf numFmtId="3" fontId="3" fillId="2" borderId="7" xfId="0" applyNumberFormat="1" applyFont="1" applyFill="1" applyBorder="1" applyAlignment="1" quotePrefix="1">
      <alignment horizontal="center" vertical="center"/>
    </xf>
    <xf numFmtId="3" fontId="3" fillId="3" borderId="7" xfId="0" applyNumberFormat="1" applyFont="1" applyFill="1" applyBorder="1" applyAlignment="1" quotePrefix="1">
      <alignment horizontal="center" vertical="center"/>
    </xf>
    <xf numFmtId="3" fontId="3" fillId="4" borderId="7" xfId="0" applyNumberFormat="1" applyFont="1" applyFill="1" applyBorder="1" applyAlignment="1" quotePrefix="1">
      <alignment horizontal="center" vertical="center"/>
    </xf>
    <xf numFmtId="3" fontId="3" fillId="6" borderId="7" xfId="0" applyNumberFormat="1" applyFont="1" applyFill="1" applyBorder="1" applyAlignment="1" quotePrefix="1">
      <alignment horizontal="center" vertical="center"/>
    </xf>
    <xf numFmtId="3" fontId="3" fillId="7" borderId="7" xfId="0" applyNumberFormat="1" applyFont="1" applyFill="1" applyBorder="1" applyAlignment="1" quotePrefix="1">
      <alignment horizontal="center" vertical="center"/>
    </xf>
    <xf numFmtId="4" fontId="13" fillId="0" borderId="0" xfId="0" applyNumberFormat="1" applyFont="1" applyAlignment="1">
      <alignment horizontal="center" vertical="center"/>
    </xf>
    <xf numFmtId="0" fontId="9" fillId="6" borderId="7"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0" fillId="0" borderId="0" xfId="0" applyAlignment="1">
      <alignment horizontal="center"/>
    </xf>
    <xf numFmtId="0" fontId="9" fillId="7" borderId="7"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7"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5" borderId="7"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7"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6" borderId="7"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2"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7"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0" fillId="0" borderId="0" xfId="0" applyFill="1" applyAlignment="1">
      <alignment horizontal="center"/>
    </xf>
    <xf numFmtId="0" fontId="9" fillId="5" borderId="2" xfId="0" applyFont="1" applyFill="1" applyBorder="1" applyAlignment="1">
      <alignment horizontal="center" vertical="center"/>
    </xf>
    <xf numFmtId="0" fontId="8" fillId="0" borderId="0" xfId="0" applyFont="1" applyBorder="1" applyAlignment="1">
      <alignment horizontal="center" vertical="center"/>
    </xf>
    <xf numFmtId="0" fontId="9" fillId="3" borderId="7"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7"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2"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3"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13" xfId="0" applyFont="1" applyBorder="1" applyAlignment="1">
      <alignment horizontal="center" vertical="center"/>
    </xf>
    <xf numFmtId="0" fontId="9" fillId="5"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5" borderId="15" xfId="0" applyFont="1" applyFill="1" applyBorder="1" applyAlignment="1">
      <alignment horizontal="center" vertical="center"/>
    </xf>
    <xf numFmtId="0" fontId="9" fillId="5" borderId="11"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0" xfId="0" applyFont="1" applyFill="1" applyBorder="1" applyAlignment="1">
      <alignment horizontal="center" vertical="center"/>
    </xf>
    <xf numFmtId="0" fontId="9" fillId="6" borderId="15"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0" xfId="0" applyFont="1" applyFill="1" applyBorder="1" applyAlignment="1">
      <alignment horizontal="center" vertical="center"/>
    </xf>
    <xf numFmtId="0" fontId="9" fillId="9" borderId="7"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7" borderId="15" xfId="0" applyFont="1" applyFill="1" applyBorder="1" applyAlignment="1">
      <alignment horizontal="center" vertical="center"/>
    </xf>
    <xf numFmtId="0" fontId="9" fillId="7" borderId="11" xfId="0" applyFont="1" applyFill="1" applyBorder="1" applyAlignment="1">
      <alignment horizontal="center" vertical="center"/>
    </xf>
    <xf numFmtId="0" fontId="9" fillId="9" borderId="7" xfId="0" applyFont="1" applyFill="1" applyBorder="1" applyAlignment="1">
      <alignment horizontal="center" vertical="center"/>
    </xf>
    <xf numFmtId="0" fontId="9" fillId="9" borderId="3" xfId="0" applyFont="1" applyFill="1" applyBorder="1" applyAlignment="1">
      <alignment horizontal="center" vertical="center"/>
    </xf>
    <xf numFmtId="0" fontId="9" fillId="9" borderId="15" xfId="0" applyFont="1" applyFill="1" applyBorder="1" applyAlignment="1">
      <alignment horizontal="center" vertical="center"/>
    </xf>
    <xf numFmtId="0" fontId="9" fillId="9" borderId="11" xfId="0" applyFont="1" applyFill="1" applyBorder="1" applyAlignment="1">
      <alignment horizontal="center" vertical="center"/>
    </xf>
    <xf numFmtId="0" fontId="9" fillId="9" borderId="0" xfId="0" applyFont="1" applyFill="1" applyBorder="1" applyAlignment="1">
      <alignment horizontal="center" vertical="center"/>
    </xf>
    <xf numFmtId="0" fontId="11" fillId="8" borderId="18" xfId="0" applyFont="1" applyFill="1" applyBorder="1" applyAlignment="1">
      <alignment horizontal="center" vertical="center" wrapText="1" readingOrder="1"/>
    </xf>
    <xf numFmtId="0" fontId="11" fillId="8" borderId="19" xfId="0" applyFont="1" applyFill="1" applyBorder="1" applyAlignment="1">
      <alignment horizontal="center" vertical="center" wrapText="1" readingOrder="1"/>
    </xf>
    <xf numFmtId="0" fontId="11" fillId="8" borderId="20" xfId="0" applyFont="1" applyFill="1" applyBorder="1" applyAlignment="1">
      <alignment horizontal="center" vertical="center" wrapText="1" readingOrder="1"/>
    </xf>
    <xf numFmtId="0" fontId="12" fillId="0" borderId="18" xfId="0" applyFont="1" applyBorder="1" applyAlignment="1">
      <alignment horizontal="center" vertical="center" wrapText="1" readingOrder="1"/>
    </xf>
    <xf numFmtId="0" fontId="12" fillId="0" borderId="20" xfId="0" applyFont="1" applyBorder="1" applyAlignment="1">
      <alignment horizontal="center" vertical="center" wrapText="1" readingOrder="1"/>
    </xf>
    <xf numFmtId="0" fontId="12" fillId="0" borderId="19" xfId="0" applyFont="1" applyBorder="1" applyAlignment="1">
      <alignment horizontal="center" vertical="center" wrapText="1" readingOrder="1"/>
    </xf>
    <xf numFmtId="0" fontId="11" fillId="8" borderId="21" xfId="0" applyFont="1" applyFill="1" applyBorder="1" applyAlignment="1">
      <alignment horizontal="center" vertical="center" wrapText="1" readingOrder="1"/>
    </xf>
    <xf numFmtId="0" fontId="11" fillId="8" borderId="22" xfId="0" applyFont="1" applyFill="1" applyBorder="1" applyAlignment="1">
      <alignment horizontal="center" vertical="center" wrapText="1" readingOrder="1"/>
    </xf>
    <xf numFmtId="0" fontId="11" fillId="8" borderId="23" xfId="0" applyFont="1" applyFill="1" applyBorder="1" applyAlignment="1">
      <alignment horizontal="center" vertical="center" wrapText="1" readingOrder="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38100</xdr:rowOff>
    </xdr:from>
    <xdr:to>
      <xdr:col>1</xdr:col>
      <xdr:colOff>1924050</xdr:colOff>
      <xdr:row>5</xdr:row>
      <xdr:rowOff>266700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23875" y="390525"/>
          <a:ext cx="1838325" cy="16954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257175</xdr:colOff>
      <xdr:row>2</xdr:row>
      <xdr:rowOff>95250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695325" cy="62865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Y106"/>
  <sheetViews>
    <sheetView tabSelected="1" zoomScale="56" zoomScaleNormal="56" workbookViewId="0" topLeftCell="C60">
      <selection activeCell="W58" sqref="W58"/>
    </sheetView>
  </sheetViews>
  <sheetFormatPr defaultColWidth="11.421875" defaultRowHeight="57.75" customHeight="1"/>
  <cols>
    <col min="1" max="1" width="6.57421875" style="1" customWidth="1"/>
    <col min="2" max="2" width="28.8515625" style="1" bestFit="1" customWidth="1"/>
    <col min="3" max="3" width="16.421875" style="2" bestFit="1" customWidth="1"/>
    <col min="4" max="4" width="36.28125" style="3" bestFit="1" customWidth="1"/>
    <col min="5" max="5" width="9.140625" style="1" bestFit="1" customWidth="1"/>
    <col min="6" max="6" width="15.57421875" style="1" bestFit="1" customWidth="1"/>
    <col min="7" max="7" width="74.421875" style="7" customWidth="1"/>
    <col min="8" max="16" width="14.57421875" style="2" customWidth="1"/>
    <col min="17" max="20" width="14.57421875" style="4" customWidth="1"/>
    <col min="21" max="24" width="24.8515625" style="4" customWidth="1"/>
    <col min="25" max="25" width="165.421875" style="6" customWidth="1"/>
    <col min="26" max="16384" width="11.421875" style="1" customWidth="1"/>
  </cols>
  <sheetData>
    <row r="1" ht="28.35" customHeight="1" thickBot="1"/>
    <row r="2" spans="2:25" ht="27" customHeight="1">
      <c r="B2" s="214"/>
      <c r="C2" s="209" t="s">
        <v>0</v>
      </c>
      <c r="D2" s="210"/>
      <c r="E2" s="210"/>
      <c r="F2" s="210"/>
      <c r="G2" s="210"/>
      <c r="H2" s="210"/>
      <c r="I2" s="210"/>
      <c r="J2" s="210"/>
      <c r="K2" s="210"/>
      <c r="L2" s="210"/>
      <c r="M2" s="210"/>
      <c r="N2" s="210"/>
      <c r="O2" s="210"/>
      <c r="P2" s="210"/>
      <c r="Q2" s="210"/>
      <c r="R2" s="210"/>
      <c r="S2" s="210"/>
      <c r="T2" s="210"/>
      <c r="U2" s="210"/>
      <c r="V2" s="210"/>
      <c r="W2" s="210"/>
      <c r="X2" s="210"/>
      <c r="Y2" s="211"/>
    </row>
    <row r="3" spans="2:25" ht="27" customHeight="1">
      <c r="B3" s="215"/>
      <c r="C3" s="212"/>
      <c r="D3" s="192"/>
      <c r="E3" s="192"/>
      <c r="F3" s="192"/>
      <c r="G3" s="192"/>
      <c r="H3" s="192"/>
      <c r="I3" s="192"/>
      <c r="J3" s="192"/>
      <c r="K3" s="192"/>
      <c r="L3" s="192"/>
      <c r="M3" s="192"/>
      <c r="N3" s="192"/>
      <c r="O3" s="192"/>
      <c r="P3" s="192"/>
      <c r="Q3" s="192"/>
      <c r="R3" s="192"/>
      <c r="S3" s="192"/>
      <c r="T3" s="192"/>
      <c r="U3" s="192"/>
      <c r="V3" s="192"/>
      <c r="W3" s="192"/>
      <c r="X3" s="192"/>
      <c r="Y3" s="213"/>
    </row>
    <row r="4" spans="2:25" ht="31.35" customHeight="1">
      <c r="B4" s="215"/>
      <c r="C4" s="212" t="s">
        <v>1</v>
      </c>
      <c r="D4" s="192"/>
      <c r="E4" s="192"/>
      <c r="F4" s="192"/>
      <c r="G4" s="192"/>
      <c r="H4" s="192"/>
      <c r="I4" s="192"/>
      <c r="J4" s="192"/>
      <c r="K4" s="192"/>
      <c r="L4" s="192"/>
      <c r="M4" s="192"/>
      <c r="N4" s="192"/>
      <c r="O4" s="192"/>
      <c r="P4" s="192"/>
      <c r="Q4" s="192"/>
      <c r="R4" s="192"/>
      <c r="S4" s="192"/>
      <c r="T4" s="192"/>
      <c r="U4" s="192"/>
      <c r="V4" s="192"/>
      <c r="W4" s="192"/>
      <c r="X4" s="192"/>
      <c r="Y4" s="213"/>
    </row>
    <row r="5" spans="2:25" ht="31.35" customHeight="1">
      <c r="B5" s="215"/>
      <c r="C5" s="212" t="s">
        <v>85</v>
      </c>
      <c r="D5" s="192"/>
      <c r="E5" s="192"/>
      <c r="F5" s="192"/>
      <c r="G5" s="192"/>
      <c r="H5" s="192"/>
      <c r="I5" s="192"/>
      <c r="J5" s="192"/>
      <c r="K5" s="192"/>
      <c r="L5" s="192"/>
      <c r="M5" s="192"/>
      <c r="N5" s="192"/>
      <c r="O5" s="192"/>
      <c r="P5" s="192"/>
      <c r="Q5" s="192"/>
      <c r="R5" s="192"/>
      <c r="S5" s="192"/>
      <c r="T5" s="192"/>
      <c r="U5" s="192"/>
      <c r="V5" s="192"/>
      <c r="W5" s="192"/>
      <c r="X5" s="192"/>
      <c r="Y5" s="213"/>
    </row>
    <row r="6" spans="2:25" ht="31.35" customHeight="1" thickBot="1">
      <c r="B6" s="216"/>
      <c r="C6" s="217" t="s">
        <v>2</v>
      </c>
      <c r="D6" s="218"/>
      <c r="E6" s="218"/>
      <c r="F6" s="218"/>
      <c r="G6" s="218"/>
      <c r="H6" s="218"/>
      <c r="I6" s="218"/>
      <c r="J6" s="218"/>
      <c r="K6" s="218"/>
      <c r="L6" s="218"/>
      <c r="M6" s="218"/>
      <c r="N6" s="218"/>
      <c r="O6" s="218"/>
      <c r="P6" s="218"/>
      <c r="Q6" s="218"/>
      <c r="R6" s="218"/>
      <c r="S6" s="218"/>
      <c r="T6" s="218"/>
      <c r="U6" s="218"/>
      <c r="V6" s="218"/>
      <c r="W6" s="218"/>
      <c r="X6" s="218"/>
      <c r="Y6" s="219"/>
    </row>
    <row r="7" spans="2:25" ht="31.5" thickBot="1">
      <c r="B7" s="192" t="s">
        <v>86</v>
      </c>
      <c r="C7" s="192"/>
      <c r="D7" s="192"/>
      <c r="E7" s="192"/>
      <c r="F7" s="192"/>
      <c r="G7" s="192"/>
      <c r="H7" s="192"/>
      <c r="I7" s="192"/>
      <c r="J7" s="192"/>
      <c r="K7" s="192"/>
      <c r="L7" s="192"/>
      <c r="M7" s="192"/>
      <c r="N7" s="192"/>
      <c r="O7" s="192"/>
      <c r="P7" s="192"/>
      <c r="Q7" s="192"/>
      <c r="R7" s="192"/>
      <c r="S7" s="192"/>
      <c r="T7" s="192"/>
      <c r="U7" s="192"/>
      <c r="V7" s="192"/>
      <c r="W7" s="192"/>
      <c r="X7" s="192"/>
      <c r="Y7" s="192"/>
    </row>
    <row r="8" spans="2:25" ht="27" customHeight="1" thickBot="1">
      <c r="B8" s="201" t="s">
        <v>121</v>
      </c>
      <c r="C8" s="202"/>
      <c r="D8" s="202"/>
      <c r="E8" s="202"/>
      <c r="F8" s="202"/>
      <c r="G8" s="202"/>
      <c r="H8" s="202"/>
      <c r="I8" s="202"/>
      <c r="J8" s="202"/>
      <c r="K8" s="202"/>
      <c r="L8" s="202"/>
      <c r="M8" s="202"/>
      <c r="N8" s="202"/>
      <c r="O8" s="202"/>
      <c r="P8" s="202"/>
      <c r="Q8" s="202"/>
      <c r="R8" s="202"/>
      <c r="S8" s="202"/>
      <c r="T8" s="202"/>
      <c r="U8" s="202"/>
      <c r="V8" s="202"/>
      <c r="W8" s="202"/>
      <c r="X8" s="202"/>
      <c r="Y8" s="203"/>
    </row>
    <row r="9" spans="2:25" ht="57.75" customHeight="1" thickBot="1">
      <c r="B9" s="22" t="s">
        <v>3</v>
      </c>
      <c r="C9" s="22" t="s">
        <v>94</v>
      </c>
      <c r="D9" s="23" t="s">
        <v>4</v>
      </c>
      <c r="E9" s="24" t="s">
        <v>5</v>
      </c>
      <c r="F9" s="23" t="s">
        <v>6</v>
      </c>
      <c r="G9" s="23" t="s">
        <v>7</v>
      </c>
      <c r="H9" s="25" t="s">
        <v>8</v>
      </c>
      <c r="I9" s="25" t="s">
        <v>9</v>
      </c>
      <c r="J9" s="23" t="s">
        <v>10</v>
      </c>
      <c r="K9" s="23" t="s">
        <v>11</v>
      </c>
      <c r="L9" s="23" t="s">
        <v>12</v>
      </c>
      <c r="M9" s="23" t="s">
        <v>13</v>
      </c>
      <c r="N9" s="23" t="s">
        <v>14</v>
      </c>
      <c r="O9" s="23" t="s">
        <v>15</v>
      </c>
      <c r="P9" s="26" t="s">
        <v>16</v>
      </c>
      <c r="Q9" s="27" t="s">
        <v>17</v>
      </c>
      <c r="R9" s="27" t="s">
        <v>18</v>
      </c>
      <c r="S9" s="27" t="s">
        <v>19</v>
      </c>
      <c r="T9" s="27" t="s">
        <v>20</v>
      </c>
      <c r="U9" s="10" t="s">
        <v>89</v>
      </c>
      <c r="V9" s="28" t="s">
        <v>90</v>
      </c>
      <c r="W9" s="11" t="s">
        <v>91</v>
      </c>
      <c r="X9" s="11" t="s">
        <v>92</v>
      </c>
      <c r="Y9" s="29" t="s">
        <v>21</v>
      </c>
    </row>
    <row r="10" spans="2:25" ht="57.75" customHeight="1" thickBot="1">
      <c r="B10" s="30" t="s">
        <v>22</v>
      </c>
      <c r="C10" s="30" t="s">
        <v>23</v>
      </c>
      <c r="D10" s="31" t="s">
        <v>24</v>
      </c>
      <c r="E10" s="30">
        <v>1</v>
      </c>
      <c r="F10" s="30" t="s">
        <v>25</v>
      </c>
      <c r="G10" s="32" t="s">
        <v>26</v>
      </c>
      <c r="H10" s="33" t="s">
        <v>27</v>
      </c>
      <c r="I10" s="34">
        <v>1374</v>
      </c>
      <c r="J10" s="35">
        <v>0.05</v>
      </c>
      <c r="K10" s="36">
        <v>0.05</v>
      </c>
      <c r="L10" s="35" t="s">
        <v>28</v>
      </c>
      <c r="M10" s="35" t="s">
        <v>28</v>
      </c>
      <c r="N10" s="35" t="s">
        <v>28</v>
      </c>
      <c r="O10" s="35" t="s">
        <v>28</v>
      </c>
      <c r="P10" s="35" t="s">
        <v>28</v>
      </c>
      <c r="Q10" s="37">
        <f>I10*J10</f>
        <v>68.7</v>
      </c>
      <c r="R10" s="37">
        <f>I10*K10</f>
        <v>68.7</v>
      </c>
      <c r="S10" s="38">
        <f>Q10*30</f>
        <v>2061</v>
      </c>
      <c r="T10" s="38">
        <f>R10*30</f>
        <v>2061</v>
      </c>
      <c r="U10" s="37">
        <f>Q10*365</f>
        <v>25075.5</v>
      </c>
      <c r="V10" s="39">
        <f>R10*365</f>
        <v>25075.5</v>
      </c>
      <c r="W10" s="39" t="s">
        <v>93</v>
      </c>
      <c r="X10" s="39" t="s">
        <v>93</v>
      </c>
      <c r="Y10" s="40" t="s">
        <v>116</v>
      </c>
    </row>
    <row r="11" spans="2:25" ht="57.75" customHeight="1" thickBot="1">
      <c r="B11" s="30" t="s">
        <v>22</v>
      </c>
      <c r="C11" s="30" t="s">
        <v>23</v>
      </c>
      <c r="D11" s="31" t="s">
        <v>30</v>
      </c>
      <c r="E11" s="30">
        <v>1</v>
      </c>
      <c r="F11" s="30" t="s">
        <v>31</v>
      </c>
      <c r="G11" s="32" t="s">
        <v>32</v>
      </c>
      <c r="H11" s="33" t="s">
        <v>27</v>
      </c>
      <c r="I11" s="34">
        <v>439</v>
      </c>
      <c r="J11" s="35">
        <v>0.05</v>
      </c>
      <c r="K11" s="36">
        <v>0.05</v>
      </c>
      <c r="L11" s="35" t="s">
        <v>28</v>
      </c>
      <c r="M11" s="35" t="s">
        <v>28</v>
      </c>
      <c r="N11" s="35" t="s">
        <v>28</v>
      </c>
      <c r="O11" s="35" t="s">
        <v>28</v>
      </c>
      <c r="P11" s="35" t="s">
        <v>28</v>
      </c>
      <c r="Q11" s="37">
        <f>I11*J11</f>
        <v>21.950000000000003</v>
      </c>
      <c r="R11" s="37">
        <f>I11*K11</f>
        <v>21.950000000000003</v>
      </c>
      <c r="S11" s="38">
        <f aca="true" t="shared" si="0" ref="S11:T11">Q11*30</f>
        <v>658.5000000000001</v>
      </c>
      <c r="T11" s="38">
        <f t="shared" si="0"/>
        <v>658.5000000000001</v>
      </c>
      <c r="U11" s="37">
        <f>Q11*365</f>
        <v>8011.750000000001</v>
      </c>
      <c r="V11" s="39">
        <f aca="true" t="shared" si="1" ref="V11">R11*365</f>
        <v>8011.750000000001</v>
      </c>
      <c r="W11" s="39" t="s">
        <v>93</v>
      </c>
      <c r="X11" s="39" t="s">
        <v>93</v>
      </c>
      <c r="Y11" s="40" t="s">
        <v>29</v>
      </c>
    </row>
    <row r="12" spans="2:25" ht="57.75" customHeight="1" thickBot="1">
      <c r="B12" s="30" t="s">
        <v>22</v>
      </c>
      <c r="C12" s="30" t="s">
        <v>23</v>
      </c>
      <c r="D12" s="31" t="s">
        <v>33</v>
      </c>
      <c r="E12" s="30">
        <v>1</v>
      </c>
      <c r="F12" s="30" t="s">
        <v>31</v>
      </c>
      <c r="G12" s="32" t="s">
        <v>34</v>
      </c>
      <c r="H12" s="33" t="s">
        <v>27</v>
      </c>
      <c r="I12" s="34">
        <v>832</v>
      </c>
      <c r="J12" s="35">
        <v>0.05</v>
      </c>
      <c r="K12" s="36">
        <v>0.05</v>
      </c>
      <c r="L12" s="35" t="s">
        <v>28</v>
      </c>
      <c r="M12" s="35" t="s">
        <v>28</v>
      </c>
      <c r="N12" s="35" t="s">
        <v>28</v>
      </c>
      <c r="O12" s="35" t="s">
        <v>28</v>
      </c>
      <c r="P12" s="35" t="s">
        <v>28</v>
      </c>
      <c r="Q12" s="37">
        <f>I12*J12</f>
        <v>41.6</v>
      </c>
      <c r="R12" s="37">
        <f>I12*K12</f>
        <v>41.6</v>
      </c>
      <c r="S12" s="38">
        <f aca="true" t="shared" si="2" ref="S12:T14">Q12*30</f>
        <v>1248</v>
      </c>
      <c r="T12" s="38">
        <f aca="true" t="shared" si="3" ref="T12">R12*30</f>
        <v>1248</v>
      </c>
      <c r="U12" s="37">
        <f aca="true" t="shared" si="4" ref="U12:U14">Q12*365</f>
        <v>15184</v>
      </c>
      <c r="V12" s="39">
        <f aca="true" t="shared" si="5" ref="V12:V14">R12*365</f>
        <v>15184</v>
      </c>
      <c r="W12" s="39" t="s">
        <v>93</v>
      </c>
      <c r="X12" s="39" t="s">
        <v>93</v>
      </c>
      <c r="Y12" s="40" t="s">
        <v>113</v>
      </c>
    </row>
    <row r="13" spans="2:25" ht="57.75" customHeight="1" thickBot="1">
      <c r="B13" s="30" t="s">
        <v>22</v>
      </c>
      <c r="C13" s="30" t="s">
        <v>23</v>
      </c>
      <c r="D13" s="31" t="s">
        <v>35</v>
      </c>
      <c r="E13" s="30">
        <v>1</v>
      </c>
      <c r="F13" s="30" t="s">
        <v>31</v>
      </c>
      <c r="G13" s="32" t="s">
        <v>36</v>
      </c>
      <c r="H13" s="33" t="s">
        <v>27</v>
      </c>
      <c r="I13" s="34">
        <v>6449</v>
      </c>
      <c r="J13" s="35">
        <v>0.05</v>
      </c>
      <c r="K13" s="36">
        <v>0.05</v>
      </c>
      <c r="L13" s="35" t="s">
        <v>28</v>
      </c>
      <c r="M13" s="35" t="s">
        <v>28</v>
      </c>
      <c r="N13" s="35" t="s">
        <v>28</v>
      </c>
      <c r="O13" s="35" t="s">
        <v>28</v>
      </c>
      <c r="P13" s="35" t="s">
        <v>28</v>
      </c>
      <c r="Q13" s="37">
        <f>I13*J13</f>
        <v>322.45000000000005</v>
      </c>
      <c r="R13" s="37">
        <f>I13*K13</f>
        <v>322.45000000000005</v>
      </c>
      <c r="S13" s="38">
        <f t="shared" si="2"/>
        <v>9673.500000000002</v>
      </c>
      <c r="T13" s="38">
        <f>R13*30</f>
        <v>9673.500000000002</v>
      </c>
      <c r="U13" s="37">
        <f t="shared" si="4"/>
        <v>117694.25000000001</v>
      </c>
      <c r="V13" s="39">
        <f t="shared" si="5"/>
        <v>117694.25000000001</v>
      </c>
      <c r="W13" s="39" t="s">
        <v>93</v>
      </c>
      <c r="X13" s="39" t="s">
        <v>93</v>
      </c>
      <c r="Y13" s="40" t="s">
        <v>105</v>
      </c>
    </row>
    <row r="14" spans="2:25" ht="57.75" customHeight="1" thickBot="1">
      <c r="B14" s="30" t="s">
        <v>22</v>
      </c>
      <c r="C14" s="30" t="s">
        <v>23</v>
      </c>
      <c r="D14" s="31" t="s">
        <v>37</v>
      </c>
      <c r="E14" s="30">
        <v>1</v>
      </c>
      <c r="F14" s="30" t="s">
        <v>31</v>
      </c>
      <c r="G14" s="32" t="s">
        <v>38</v>
      </c>
      <c r="H14" s="33" t="s">
        <v>27</v>
      </c>
      <c r="I14" s="34">
        <v>2338</v>
      </c>
      <c r="J14" s="35">
        <v>0.05</v>
      </c>
      <c r="K14" s="36">
        <v>0.05</v>
      </c>
      <c r="L14" s="35" t="s">
        <v>28</v>
      </c>
      <c r="M14" s="35" t="s">
        <v>28</v>
      </c>
      <c r="N14" s="35" t="s">
        <v>28</v>
      </c>
      <c r="O14" s="35" t="s">
        <v>28</v>
      </c>
      <c r="P14" s="35" t="s">
        <v>28</v>
      </c>
      <c r="Q14" s="37">
        <f>I14*J14</f>
        <v>116.9</v>
      </c>
      <c r="R14" s="37">
        <f>I14*K14</f>
        <v>116.9</v>
      </c>
      <c r="S14" s="38">
        <f t="shared" si="2"/>
        <v>3507</v>
      </c>
      <c r="T14" s="38">
        <f t="shared" si="2"/>
        <v>3507</v>
      </c>
      <c r="U14" s="37">
        <f t="shared" si="4"/>
        <v>42668.5</v>
      </c>
      <c r="V14" s="39">
        <f t="shared" si="5"/>
        <v>42668.5</v>
      </c>
      <c r="W14" s="39" t="s">
        <v>93</v>
      </c>
      <c r="X14" s="39" t="s">
        <v>93</v>
      </c>
      <c r="Y14" s="40" t="s">
        <v>106</v>
      </c>
    </row>
    <row r="15" spans="2:25" ht="21.6" customHeight="1" thickBot="1">
      <c r="B15" s="207" t="s">
        <v>39</v>
      </c>
      <c r="C15" s="208"/>
      <c r="D15" s="208"/>
      <c r="E15" s="208"/>
      <c r="F15" s="208"/>
      <c r="G15" s="208"/>
      <c r="H15" s="208"/>
      <c r="I15" s="208"/>
      <c r="J15" s="208"/>
      <c r="K15" s="208"/>
      <c r="L15" s="208"/>
      <c r="M15" s="208"/>
      <c r="N15" s="208"/>
      <c r="O15" s="208"/>
      <c r="P15" s="208"/>
      <c r="Q15" s="208"/>
      <c r="R15" s="208"/>
      <c r="S15" s="208"/>
      <c r="T15" s="208"/>
      <c r="U15" s="208"/>
      <c r="V15" s="208"/>
      <c r="W15" s="9"/>
      <c r="X15" s="9"/>
      <c r="Y15" s="40"/>
    </row>
    <row r="16" spans="2:25" ht="57.75" customHeight="1" thickBot="1">
      <c r="B16" s="30" t="s">
        <v>22</v>
      </c>
      <c r="C16" s="30" t="s">
        <v>23</v>
      </c>
      <c r="D16" s="30" t="s">
        <v>40</v>
      </c>
      <c r="E16" s="30">
        <v>1</v>
      </c>
      <c r="F16" s="30" t="s">
        <v>25</v>
      </c>
      <c r="G16" s="32" t="s">
        <v>41</v>
      </c>
      <c r="H16" s="33" t="s">
        <v>42</v>
      </c>
      <c r="I16" s="34" t="s">
        <v>28</v>
      </c>
      <c r="J16" s="34" t="s">
        <v>28</v>
      </c>
      <c r="K16" s="34" t="s">
        <v>28</v>
      </c>
      <c r="L16" s="34" t="s">
        <v>28</v>
      </c>
      <c r="M16" s="34" t="s">
        <v>28</v>
      </c>
      <c r="N16" s="34" t="s">
        <v>28</v>
      </c>
      <c r="O16" s="34" t="s">
        <v>28</v>
      </c>
      <c r="P16" s="34" t="s">
        <v>28</v>
      </c>
      <c r="Q16" s="37">
        <v>2.67</v>
      </c>
      <c r="R16" s="37">
        <v>13.32</v>
      </c>
      <c r="S16" s="37">
        <f aca="true" t="shared" si="6" ref="S16:T19">Q16*30</f>
        <v>80.1</v>
      </c>
      <c r="T16" s="37">
        <f t="shared" si="6"/>
        <v>399.6</v>
      </c>
      <c r="U16" s="37">
        <f aca="true" t="shared" si="7" ref="U16:V19">Q16*365</f>
        <v>974.55</v>
      </c>
      <c r="V16" s="39">
        <f t="shared" si="7"/>
        <v>4861.8</v>
      </c>
      <c r="W16" s="39" t="s">
        <v>93</v>
      </c>
      <c r="X16" s="39" t="s">
        <v>93</v>
      </c>
      <c r="Y16" s="40" t="s">
        <v>115</v>
      </c>
    </row>
    <row r="17" spans="2:25" ht="57.75" customHeight="1" thickBot="1">
      <c r="B17" s="30" t="s">
        <v>22</v>
      </c>
      <c r="C17" s="30" t="s">
        <v>23</v>
      </c>
      <c r="D17" s="30" t="s">
        <v>43</v>
      </c>
      <c r="E17" s="30">
        <v>1</v>
      </c>
      <c r="F17" s="30" t="s">
        <v>25</v>
      </c>
      <c r="G17" s="32" t="s">
        <v>44</v>
      </c>
      <c r="H17" s="33" t="s">
        <v>42</v>
      </c>
      <c r="I17" s="34" t="s">
        <v>28</v>
      </c>
      <c r="J17" s="34" t="s">
        <v>28</v>
      </c>
      <c r="K17" s="34" t="s">
        <v>28</v>
      </c>
      <c r="L17" s="34">
        <v>10</v>
      </c>
      <c r="M17" s="34">
        <v>24</v>
      </c>
      <c r="N17" s="34">
        <v>30</v>
      </c>
      <c r="O17" s="34">
        <v>2</v>
      </c>
      <c r="P17" s="34">
        <v>50</v>
      </c>
      <c r="Q17" s="37">
        <f>L17*O17*M17*0.0036</f>
        <v>1.728</v>
      </c>
      <c r="R17" s="37">
        <f>L17*P17*M17*0.0036</f>
        <v>43.199999999999996</v>
      </c>
      <c r="S17" s="37">
        <f t="shared" si="6"/>
        <v>51.839999999999996</v>
      </c>
      <c r="T17" s="37">
        <f t="shared" si="6"/>
        <v>1295.9999999999998</v>
      </c>
      <c r="U17" s="37">
        <f t="shared" si="7"/>
        <v>630.72</v>
      </c>
      <c r="V17" s="39">
        <f t="shared" si="7"/>
        <v>15767.999999999998</v>
      </c>
      <c r="W17" s="39" t="s">
        <v>93</v>
      </c>
      <c r="X17" s="39" t="s">
        <v>93</v>
      </c>
      <c r="Y17" s="40" t="s">
        <v>45</v>
      </c>
    </row>
    <row r="18" spans="2:25" ht="57.75" customHeight="1" thickBot="1">
      <c r="B18" s="30" t="s">
        <v>22</v>
      </c>
      <c r="C18" s="30" t="s">
        <v>23</v>
      </c>
      <c r="D18" s="30" t="s">
        <v>40</v>
      </c>
      <c r="E18" s="30">
        <v>1</v>
      </c>
      <c r="F18" s="30" t="s">
        <v>25</v>
      </c>
      <c r="G18" s="32" t="s">
        <v>46</v>
      </c>
      <c r="H18" s="33" t="s">
        <v>42</v>
      </c>
      <c r="I18" s="34" t="s">
        <v>28</v>
      </c>
      <c r="J18" s="34" t="s">
        <v>28</v>
      </c>
      <c r="K18" s="34" t="s">
        <v>28</v>
      </c>
      <c r="L18" s="34">
        <v>20</v>
      </c>
      <c r="M18" s="34">
        <v>24</v>
      </c>
      <c r="N18" s="34">
        <v>30</v>
      </c>
      <c r="O18" s="34">
        <v>2</v>
      </c>
      <c r="P18" s="34">
        <v>50</v>
      </c>
      <c r="Q18" s="37">
        <f>L18*O18*M18*0.0036</f>
        <v>3.456</v>
      </c>
      <c r="R18" s="37">
        <f>L18*P18*M18*0.0036</f>
        <v>86.39999999999999</v>
      </c>
      <c r="S18" s="37">
        <f t="shared" si="6"/>
        <v>103.67999999999999</v>
      </c>
      <c r="T18" s="37">
        <f t="shared" si="6"/>
        <v>2591.9999999999995</v>
      </c>
      <c r="U18" s="37">
        <f t="shared" si="7"/>
        <v>1261.44</v>
      </c>
      <c r="V18" s="39">
        <f t="shared" si="7"/>
        <v>31535.999999999996</v>
      </c>
      <c r="W18" s="39" t="s">
        <v>93</v>
      </c>
      <c r="X18" s="39" t="s">
        <v>93</v>
      </c>
      <c r="Y18" s="40" t="s">
        <v>45</v>
      </c>
    </row>
    <row r="19" spans="2:25" ht="57.75" customHeight="1" thickBot="1">
      <c r="B19" s="30" t="s">
        <v>22</v>
      </c>
      <c r="C19" s="30" t="s">
        <v>23</v>
      </c>
      <c r="D19" s="30" t="s">
        <v>40</v>
      </c>
      <c r="E19" s="30">
        <v>1</v>
      </c>
      <c r="F19" s="30" t="s">
        <v>25</v>
      </c>
      <c r="G19" s="32" t="s">
        <v>47</v>
      </c>
      <c r="H19" s="33" t="s">
        <v>42</v>
      </c>
      <c r="I19" s="34" t="s">
        <v>28</v>
      </c>
      <c r="J19" s="34" t="s">
        <v>28</v>
      </c>
      <c r="K19" s="34" t="s">
        <v>28</v>
      </c>
      <c r="L19" s="34" t="s">
        <v>28</v>
      </c>
      <c r="M19" s="34" t="s">
        <v>28</v>
      </c>
      <c r="N19" s="34" t="s">
        <v>28</v>
      </c>
      <c r="O19" s="34" t="s">
        <v>28</v>
      </c>
      <c r="P19" s="34" t="s">
        <v>28</v>
      </c>
      <c r="Q19" s="37">
        <v>37.8958032</v>
      </c>
      <c r="R19" s="37">
        <v>59.079888</v>
      </c>
      <c r="S19" s="37">
        <f t="shared" si="6"/>
        <v>1136.874096</v>
      </c>
      <c r="T19" s="37">
        <f t="shared" si="6"/>
        <v>1772.39664</v>
      </c>
      <c r="U19" s="37">
        <f t="shared" si="7"/>
        <v>13831.968168000001</v>
      </c>
      <c r="V19" s="39">
        <f t="shared" si="7"/>
        <v>21564.15912</v>
      </c>
      <c r="W19" s="39" t="s">
        <v>93</v>
      </c>
      <c r="X19" s="39" t="s">
        <v>93</v>
      </c>
      <c r="Y19" s="40" t="s">
        <v>48</v>
      </c>
    </row>
    <row r="20" spans="2:25" ht="57.75" customHeight="1" thickBot="1">
      <c r="B20" s="30" t="s">
        <v>22</v>
      </c>
      <c r="C20" s="30" t="s">
        <v>23</v>
      </c>
      <c r="D20" s="30" t="s">
        <v>49</v>
      </c>
      <c r="E20" s="30">
        <v>1</v>
      </c>
      <c r="F20" s="30" t="s">
        <v>25</v>
      </c>
      <c r="G20" s="32" t="s">
        <v>50</v>
      </c>
      <c r="H20" s="33" t="s">
        <v>42</v>
      </c>
      <c r="I20" s="34" t="s">
        <v>28</v>
      </c>
      <c r="J20" s="34" t="s">
        <v>28</v>
      </c>
      <c r="K20" s="34" t="s">
        <v>28</v>
      </c>
      <c r="L20" s="34" t="s">
        <v>28</v>
      </c>
      <c r="M20" s="34" t="s">
        <v>28</v>
      </c>
      <c r="N20" s="34" t="s">
        <v>28</v>
      </c>
      <c r="O20" s="34" t="s">
        <v>28</v>
      </c>
      <c r="P20" s="34" t="s">
        <v>28</v>
      </c>
      <c r="Q20" s="37">
        <v>0.77</v>
      </c>
      <c r="R20" s="37">
        <v>9.9</v>
      </c>
      <c r="S20" s="37">
        <f aca="true" t="shared" si="8" ref="S20:S22">Q20*30</f>
        <v>23.1</v>
      </c>
      <c r="T20" s="37">
        <f aca="true" t="shared" si="9" ref="T20:T22">R20*30</f>
        <v>297</v>
      </c>
      <c r="U20" s="37">
        <f aca="true" t="shared" si="10" ref="U20:U22">Q20*365</f>
        <v>281.05</v>
      </c>
      <c r="V20" s="39">
        <f aca="true" t="shared" si="11" ref="V20:V22">R20*365</f>
        <v>3613.5</v>
      </c>
      <c r="W20" s="39" t="s">
        <v>93</v>
      </c>
      <c r="X20" s="39" t="s">
        <v>93</v>
      </c>
      <c r="Y20" s="40" t="s">
        <v>51</v>
      </c>
    </row>
    <row r="21" spans="2:25" ht="57.75" customHeight="1" thickBot="1">
      <c r="B21" s="30" t="s">
        <v>22</v>
      </c>
      <c r="C21" s="30" t="s">
        <v>23</v>
      </c>
      <c r="D21" s="30" t="s">
        <v>166</v>
      </c>
      <c r="E21" s="30">
        <v>1</v>
      </c>
      <c r="F21" s="30" t="s">
        <v>25</v>
      </c>
      <c r="G21" s="32" t="s">
        <v>167</v>
      </c>
      <c r="H21" s="33" t="s">
        <v>42</v>
      </c>
      <c r="I21" s="34" t="s">
        <v>28</v>
      </c>
      <c r="J21" s="34" t="s">
        <v>28</v>
      </c>
      <c r="K21" s="34" t="s">
        <v>28</v>
      </c>
      <c r="L21" s="160">
        <v>3.031</v>
      </c>
      <c r="M21" s="34">
        <v>8</v>
      </c>
      <c r="N21" s="34">
        <v>30</v>
      </c>
      <c r="O21" s="34">
        <v>50</v>
      </c>
      <c r="P21" s="34">
        <v>50</v>
      </c>
      <c r="Q21" s="37">
        <f>O21*L21*M21*0.0036</f>
        <v>4.3646400000000005</v>
      </c>
      <c r="R21" s="37">
        <f>P21*L21*M21*0.0036</f>
        <v>4.3646400000000005</v>
      </c>
      <c r="S21" s="37">
        <f aca="true" t="shared" si="12" ref="S21">Q21*30</f>
        <v>130.93920000000003</v>
      </c>
      <c r="T21" s="37">
        <f aca="true" t="shared" si="13" ref="T21">R21*30</f>
        <v>130.93920000000003</v>
      </c>
      <c r="U21" s="37">
        <f aca="true" t="shared" si="14" ref="U21">Q21*365</f>
        <v>1593.0936000000002</v>
      </c>
      <c r="V21" s="39">
        <f aca="true" t="shared" si="15" ref="V21">R21*365</f>
        <v>1593.0936000000002</v>
      </c>
      <c r="W21" s="39" t="s">
        <v>93</v>
      </c>
      <c r="X21" s="39" t="s">
        <v>93</v>
      </c>
      <c r="Y21" s="40" t="s">
        <v>168</v>
      </c>
    </row>
    <row r="22" spans="2:25" s="20" customFormat="1" ht="57.75" customHeight="1" thickBot="1">
      <c r="B22" s="30" t="s">
        <v>22</v>
      </c>
      <c r="C22" s="30" t="s">
        <v>23</v>
      </c>
      <c r="D22" s="30" t="s">
        <v>52</v>
      </c>
      <c r="E22" s="30">
        <v>1</v>
      </c>
      <c r="F22" s="30" t="s">
        <v>25</v>
      </c>
      <c r="G22" s="32" t="s">
        <v>53</v>
      </c>
      <c r="H22" s="33" t="s">
        <v>42</v>
      </c>
      <c r="I22" s="34" t="s">
        <v>28</v>
      </c>
      <c r="J22" s="34" t="s">
        <v>28</v>
      </c>
      <c r="K22" s="34" t="s">
        <v>28</v>
      </c>
      <c r="L22" s="34">
        <v>0.3</v>
      </c>
      <c r="M22" s="34">
        <v>24</v>
      </c>
      <c r="N22" s="34">
        <v>30</v>
      </c>
      <c r="O22" s="34">
        <v>2</v>
      </c>
      <c r="P22" s="34">
        <v>193</v>
      </c>
      <c r="Q22" s="37">
        <f>L22*O22*M22*0.0036</f>
        <v>0.05183999999999999</v>
      </c>
      <c r="R22" s="37">
        <f>L22*P22*M22*0.0036</f>
        <v>5.00256</v>
      </c>
      <c r="S22" s="37">
        <f t="shared" si="8"/>
        <v>1.5551999999999997</v>
      </c>
      <c r="T22" s="37">
        <f t="shared" si="9"/>
        <v>150.0768</v>
      </c>
      <c r="U22" s="37">
        <f t="shared" si="10"/>
        <v>18.921599999999998</v>
      </c>
      <c r="V22" s="39">
        <f t="shared" si="11"/>
        <v>1825.9343999999999</v>
      </c>
      <c r="W22" s="39" t="s">
        <v>93</v>
      </c>
      <c r="X22" s="39" t="s">
        <v>93</v>
      </c>
      <c r="Y22" s="40" t="s">
        <v>112</v>
      </c>
    </row>
    <row r="23" spans="1:25" ht="26.45" customHeight="1" thickBot="1">
      <c r="A23"/>
      <c r="B23" s="204" t="s">
        <v>87</v>
      </c>
      <c r="C23" s="205"/>
      <c r="D23" s="205"/>
      <c r="E23" s="205"/>
      <c r="F23" s="205"/>
      <c r="G23" s="205"/>
      <c r="H23" s="205"/>
      <c r="I23" s="205"/>
      <c r="J23" s="205"/>
      <c r="K23" s="205"/>
      <c r="L23" s="205"/>
      <c r="M23" s="205"/>
      <c r="N23" s="205"/>
      <c r="O23" s="205"/>
      <c r="P23" s="205"/>
      <c r="Q23" s="205"/>
      <c r="R23" s="205"/>
      <c r="S23" s="205"/>
      <c r="T23" s="206"/>
      <c r="U23" s="103">
        <f>SUM(U10:U22)</f>
        <v>227225.74336799997</v>
      </c>
      <c r="V23" s="103">
        <f>SUM(V10:V22)</f>
        <v>289396.48712000006</v>
      </c>
      <c r="W23" s="104" t="s">
        <v>93</v>
      </c>
      <c r="X23" s="104" t="s">
        <v>93</v>
      </c>
      <c r="Y23" s="40"/>
    </row>
    <row r="24" spans="2:25" ht="31.5" thickBot="1">
      <c r="B24" s="199" t="s">
        <v>96</v>
      </c>
      <c r="C24" s="199"/>
      <c r="D24" s="199"/>
      <c r="E24" s="199"/>
      <c r="F24" s="199"/>
      <c r="G24" s="199"/>
      <c r="H24" s="199"/>
      <c r="I24" s="199"/>
      <c r="J24" s="199"/>
      <c r="K24" s="199"/>
      <c r="L24" s="199"/>
      <c r="M24" s="199"/>
      <c r="N24" s="199"/>
      <c r="O24" s="199"/>
      <c r="P24" s="199"/>
      <c r="Q24" s="199"/>
      <c r="R24" s="199"/>
      <c r="S24" s="199"/>
      <c r="T24" s="199"/>
      <c r="U24" s="199"/>
      <c r="V24" s="199"/>
      <c r="W24" s="199"/>
      <c r="X24" s="199"/>
      <c r="Y24" s="200"/>
    </row>
    <row r="25" spans="2:25" ht="23.45" customHeight="1" thickBot="1">
      <c r="B25" s="193" t="s">
        <v>88</v>
      </c>
      <c r="C25" s="194"/>
      <c r="D25" s="194"/>
      <c r="E25" s="194"/>
      <c r="F25" s="194"/>
      <c r="G25" s="194"/>
      <c r="H25" s="194"/>
      <c r="I25" s="194"/>
      <c r="J25" s="194"/>
      <c r="K25" s="194"/>
      <c r="L25" s="194"/>
      <c r="M25" s="194"/>
      <c r="N25" s="194"/>
      <c r="O25" s="194"/>
      <c r="P25" s="194"/>
      <c r="Q25" s="194"/>
      <c r="R25" s="194"/>
      <c r="S25" s="194"/>
      <c r="T25" s="194"/>
      <c r="U25" s="194"/>
      <c r="V25" s="194"/>
      <c r="W25" s="194"/>
      <c r="X25" s="198"/>
      <c r="Y25" s="5"/>
    </row>
    <row r="26" spans="2:25" ht="57.75" customHeight="1" thickBot="1">
      <c r="B26" s="41" t="s">
        <v>22</v>
      </c>
      <c r="C26" s="41" t="s">
        <v>23</v>
      </c>
      <c r="D26" s="42" t="s">
        <v>24</v>
      </c>
      <c r="E26" s="41">
        <v>1</v>
      </c>
      <c r="F26" s="41" t="s">
        <v>25</v>
      </c>
      <c r="G26" s="43" t="s">
        <v>26</v>
      </c>
      <c r="H26" s="44" t="s">
        <v>27</v>
      </c>
      <c r="I26" s="45">
        <v>1390</v>
      </c>
      <c r="J26" s="46">
        <v>0.05</v>
      </c>
      <c r="K26" s="47">
        <v>0.05</v>
      </c>
      <c r="L26" s="46" t="s">
        <v>28</v>
      </c>
      <c r="M26" s="46" t="s">
        <v>28</v>
      </c>
      <c r="N26" s="46" t="s">
        <v>28</v>
      </c>
      <c r="O26" s="46" t="s">
        <v>28</v>
      </c>
      <c r="P26" s="46" t="s">
        <v>28</v>
      </c>
      <c r="Q26" s="48">
        <f>I26*J26</f>
        <v>69.5</v>
      </c>
      <c r="R26" s="48">
        <f>I26*K26</f>
        <v>69.5</v>
      </c>
      <c r="S26" s="49">
        <f>Q26*30</f>
        <v>2085</v>
      </c>
      <c r="T26" s="49">
        <f>R26*30</f>
        <v>2085</v>
      </c>
      <c r="U26" s="48">
        <f>Q26*365</f>
        <v>25367.5</v>
      </c>
      <c r="V26" s="50">
        <f>R26*365</f>
        <v>25367.5</v>
      </c>
      <c r="W26" s="50">
        <f aca="true" t="shared" si="16" ref="W26:X30">U26</f>
        <v>25367.5</v>
      </c>
      <c r="X26" s="50">
        <f t="shared" si="16"/>
        <v>25367.5</v>
      </c>
      <c r="Y26" s="5" t="s">
        <v>116</v>
      </c>
    </row>
    <row r="27" spans="2:25" ht="57.75" customHeight="1" thickBot="1">
      <c r="B27" s="41" t="s">
        <v>22</v>
      </c>
      <c r="C27" s="41" t="s">
        <v>23</v>
      </c>
      <c r="D27" s="42" t="s">
        <v>30</v>
      </c>
      <c r="E27" s="41">
        <v>1</v>
      </c>
      <c r="F27" s="41" t="s">
        <v>31</v>
      </c>
      <c r="G27" s="43" t="s">
        <v>32</v>
      </c>
      <c r="H27" s="44" t="s">
        <v>27</v>
      </c>
      <c r="I27" s="45">
        <v>449</v>
      </c>
      <c r="J27" s="46">
        <v>0.05</v>
      </c>
      <c r="K27" s="47">
        <v>0.05</v>
      </c>
      <c r="L27" s="46" t="s">
        <v>28</v>
      </c>
      <c r="M27" s="46" t="s">
        <v>28</v>
      </c>
      <c r="N27" s="46" t="s">
        <v>28</v>
      </c>
      <c r="O27" s="46" t="s">
        <v>28</v>
      </c>
      <c r="P27" s="46" t="s">
        <v>28</v>
      </c>
      <c r="Q27" s="48">
        <f>I27*J27</f>
        <v>22.450000000000003</v>
      </c>
      <c r="R27" s="48">
        <f>I27*K27</f>
        <v>22.450000000000003</v>
      </c>
      <c r="S27" s="49">
        <f aca="true" t="shared" si="17" ref="S27:S30">Q27*30</f>
        <v>673.5000000000001</v>
      </c>
      <c r="T27" s="49">
        <f aca="true" t="shared" si="18" ref="T27:T28">R27*30</f>
        <v>673.5000000000001</v>
      </c>
      <c r="U27" s="48">
        <f>Q27*365</f>
        <v>8194.250000000002</v>
      </c>
      <c r="V27" s="50">
        <f aca="true" t="shared" si="19" ref="V27:V30">R27*365</f>
        <v>8194.250000000002</v>
      </c>
      <c r="W27" s="50">
        <f t="shared" si="16"/>
        <v>8194.250000000002</v>
      </c>
      <c r="X27" s="50">
        <f t="shared" si="16"/>
        <v>8194.250000000002</v>
      </c>
      <c r="Y27" s="5" t="s">
        <v>29</v>
      </c>
    </row>
    <row r="28" spans="2:25" ht="57.75" customHeight="1" thickBot="1">
      <c r="B28" s="41" t="s">
        <v>22</v>
      </c>
      <c r="C28" s="41" t="s">
        <v>23</v>
      </c>
      <c r="D28" s="42" t="s">
        <v>33</v>
      </c>
      <c r="E28" s="41">
        <v>1</v>
      </c>
      <c r="F28" s="41" t="s">
        <v>31</v>
      </c>
      <c r="G28" s="43" t="s">
        <v>34</v>
      </c>
      <c r="H28" s="44" t="s">
        <v>27</v>
      </c>
      <c r="I28" s="45">
        <v>844</v>
      </c>
      <c r="J28" s="46">
        <v>0.05</v>
      </c>
      <c r="K28" s="47">
        <v>0.05</v>
      </c>
      <c r="L28" s="46" t="s">
        <v>28</v>
      </c>
      <c r="M28" s="46" t="s">
        <v>28</v>
      </c>
      <c r="N28" s="46" t="s">
        <v>28</v>
      </c>
      <c r="O28" s="46" t="s">
        <v>28</v>
      </c>
      <c r="P28" s="46" t="s">
        <v>28</v>
      </c>
      <c r="Q28" s="48">
        <f>I28*J28</f>
        <v>42.2</v>
      </c>
      <c r="R28" s="48">
        <f>I28*K28</f>
        <v>42.2</v>
      </c>
      <c r="S28" s="49">
        <f t="shared" si="17"/>
        <v>1266</v>
      </c>
      <c r="T28" s="49">
        <f t="shared" si="18"/>
        <v>1266</v>
      </c>
      <c r="U28" s="48">
        <f aca="true" t="shared" si="20" ref="U28:U30">Q28*365</f>
        <v>15403.000000000002</v>
      </c>
      <c r="V28" s="50">
        <f t="shared" si="19"/>
        <v>15403.000000000002</v>
      </c>
      <c r="W28" s="50">
        <f t="shared" si="16"/>
        <v>15403.000000000002</v>
      </c>
      <c r="X28" s="50">
        <f t="shared" si="16"/>
        <v>15403.000000000002</v>
      </c>
      <c r="Y28" s="5" t="s">
        <v>113</v>
      </c>
    </row>
    <row r="29" spans="2:25" ht="57.75" customHeight="1" thickBot="1">
      <c r="B29" s="41" t="s">
        <v>22</v>
      </c>
      <c r="C29" s="41" t="s">
        <v>23</v>
      </c>
      <c r="D29" s="42" t="s">
        <v>35</v>
      </c>
      <c r="E29" s="41">
        <v>1</v>
      </c>
      <c r="F29" s="41" t="s">
        <v>31</v>
      </c>
      <c r="G29" s="43" t="s">
        <v>36</v>
      </c>
      <c r="H29" s="44" t="s">
        <v>27</v>
      </c>
      <c r="I29" s="45">
        <v>6530</v>
      </c>
      <c r="J29" s="46">
        <v>0.05</v>
      </c>
      <c r="K29" s="47">
        <v>0.05</v>
      </c>
      <c r="L29" s="46" t="s">
        <v>28</v>
      </c>
      <c r="M29" s="46" t="s">
        <v>28</v>
      </c>
      <c r="N29" s="46" t="s">
        <v>28</v>
      </c>
      <c r="O29" s="46" t="s">
        <v>28</v>
      </c>
      <c r="P29" s="46" t="s">
        <v>28</v>
      </c>
      <c r="Q29" s="48">
        <f>I29*J29</f>
        <v>326.5</v>
      </c>
      <c r="R29" s="48">
        <f>I29*K29</f>
        <v>326.5</v>
      </c>
      <c r="S29" s="49">
        <f t="shared" si="17"/>
        <v>9795</v>
      </c>
      <c r="T29" s="49">
        <f>R29*30</f>
        <v>9795</v>
      </c>
      <c r="U29" s="48">
        <f t="shared" si="20"/>
        <v>119172.5</v>
      </c>
      <c r="V29" s="50">
        <f t="shared" si="19"/>
        <v>119172.5</v>
      </c>
      <c r="W29" s="50">
        <f t="shared" si="16"/>
        <v>119172.5</v>
      </c>
      <c r="X29" s="50">
        <f t="shared" si="16"/>
        <v>119172.5</v>
      </c>
      <c r="Y29" s="5" t="s">
        <v>105</v>
      </c>
    </row>
    <row r="30" spans="2:25" ht="57.75" customHeight="1" thickBot="1">
      <c r="B30" s="41" t="s">
        <v>22</v>
      </c>
      <c r="C30" s="41" t="s">
        <v>23</v>
      </c>
      <c r="D30" s="42" t="s">
        <v>37</v>
      </c>
      <c r="E30" s="41">
        <v>1</v>
      </c>
      <c r="F30" s="41" t="s">
        <v>31</v>
      </c>
      <c r="G30" s="43" t="s">
        <v>38</v>
      </c>
      <c r="H30" s="44" t="s">
        <v>27</v>
      </c>
      <c r="I30" s="45">
        <v>2345</v>
      </c>
      <c r="J30" s="46">
        <v>0.05</v>
      </c>
      <c r="K30" s="47">
        <v>0.05</v>
      </c>
      <c r="L30" s="46" t="s">
        <v>28</v>
      </c>
      <c r="M30" s="46" t="s">
        <v>28</v>
      </c>
      <c r="N30" s="46" t="s">
        <v>28</v>
      </c>
      <c r="O30" s="46" t="s">
        <v>28</v>
      </c>
      <c r="P30" s="46" t="s">
        <v>28</v>
      </c>
      <c r="Q30" s="48">
        <f>I30*J30</f>
        <v>117.25</v>
      </c>
      <c r="R30" s="48">
        <f>I30*K30</f>
        <v>117.25</v>
      </c>
      <c r="S30" s="49">
        <f t="shared" si="17"/>
        <v>3517.5</v>
      </c>
      <c r="T30" s="49">
        <f aca="true" t="shared" si="21" ref="T30">R30*30</f>
        <v>3517.5</v>
      </c>
      <c r="U30" s="48">
        <f t="shared" si="20"/>
        <v>42796.25</v>
      </c>
      <c r="V30" s="50">
        <f t="shared" si="19"/>
        <v>42796.25</v>
      </c>
      <c r="W30" s="50">
        <f t="shared" si="16"/>
        <v>42796.25</v>
      </c>
      <c r="X30" s="50">
        <f t="shared" si="16"/>
        <v>42796.25</v>
      </c>
      <c r="Y30" s="5" t="s">
        <v>107</v>
      </c>
    </row>
    <row r="31" spans="2:25" ht="21.6" customHeight="1" thickBot="1">
      <c r="B31" s="193" t="s">
        <v>39</v>
      </c>
      <c r="C31" s="194"/>
      <c r="D31" s="194"/>
      <c r="E31" s="194"/>
      <c r="F31" s="194"/>
      <c r="G31" s="194"/>
      <c r="H31" s="194"/>
      <c r="I31" s="194"/>
      <c r="J31" s="194"/>
      <c r="K31" s="194"/>
      <c r="L31" s="194"/>
      <c r="M31" s="194"/>
      <c r="N31" s="194"/>
      <c r="O31" s="194"/>
      <c r="P31" s="194"/>
      <c r="Q31" s="194"/>
      <c r="R31" s="194"/>
      <c r="S31" s="194"/>
      <c r="T31" s="194"/>
      <c r="U31" s="194"/>
      <c r="V31" s="194"/>
      <c r="W31" s="12"/>
      <c r="X31" s="12"/>
      <c r="Y31" s="5"/>
    </row>
    <row r="32" spans="2:25" ht="57.75" customHeight="1" thickBot="1">
      <c r="B32" s="41" t="s">
        <v>22</v>
      </c>
      <c r="C32" s="41" t="s">
        <v>23</v>
      </c>
      <c r="D32" s="41" t="s">
        <v>40</v>
      </c>
      <c r="E32" s="41">
        <v>1</v>
      </c>
      <c r="F32" s="41" t="s">
        <v>25</v>
      </c>
      <c r="G32" s="43" t="s">
        <v>41</v>
      </c>
      <c r="H32" s="44" t="s">
        <v>42</v>
      </c>
      <c r="I32" s="45" t="s">
        <v>28</v>
      </c>
      <c r="J32" s="45" t="s">
        <v>28</v>
      </c>
      <c r="K32" s="45" t="s">
        <v>28</v>
      </c>
      <c r="L32" s="45" t="s">
        <v>28</v>
      </c>
      <c r="M32" s="45" t="s">
        <v>28</v>
      </c>
      <c r="N32" s="45" t="s">
        <v>28</v>
      </c>
      <c r="O32" s="45" t="s">
        <v>28</v>
      </c>
      <c r="P32" s="45" t="s">
        <v>28</v>
      </c>
      <c r="Q32" s="48">
        <v>2.67</v>
      </c>
      <c r="R32" s="48">
        <v>13.32</v>
      </c>
      <c r="S32" s="48">
        <f aca="true" t="shared" si="22" ref="S32">Q32*30</f>
        <v>80.1</v>
      </c>
      <c r="T32" s="48">
        <f aca="true" t="shared" si="23" ref="T32">R32*30</f>
        <v>399.6</v>
      </c>
      <c r="U32" s="48">
        <f aca="true" t="shared" si="24" ref="U32:U38">Q32*365</f>
        <v>974.55</v>
      </c>
      <c r="V32" s="50">
        <f aca="true" t="shared" si="25" ref="V32:V38">R32*365</f>
        <v>4861.8</v>
      </c>
      <c r="W32" s="50">
        <f aca="true" t="shared" si="26" ref="W32:X38">U32</f>
        <v>974.55</v>
      </c>
      <c r="X32" s="50">
        <f>V32*0.82</f>
        <v>3986.676</v>
      </c>
      <c r="Y32" s="5" t="s">
        <v>114</v>
      </c>
    </row>
    <row r="33" spans="2:25" ht="57.75" customHeight="1" thickBot="1">
      <c r="B33" s="41" t="s">
        <v>22</v>
      </c>
      <c r="C33" s="41" t="s">
        <v>23</v>
      </c>
      <c r="D33" s="41" t="s">
        <v>43</v>
      </c>
      <c r="E33" s="41">
        <v>1</v>
      </c>
      <c r="F33" s="41" t="s">
        <v>25</v>
      </c>
      <c r="G33" s="43" t="s">
        <v>44</v>
      </c>
      <c r="H33" s="44" t="s">
        <v>42</v>
      </c>
      <c r="I33" s="45" t="s">
        <v>28</v>
      </c>
      <c r="J33" s="45" t="s">
        <v>28</v>
      </c>
      <c r="K33" s="45" t="s">
        <v>28</v>
      </c>
      <c r="L33" s="45">
        <v>10</v>
      </c>
      <c r="M33" s="45">
        <v>24</v>
      </c>
      <c r="N33" s="45">
        <v>30</v>
      </c>
      <c r="O33" s="45">
        <v>2</v>
      </c>
      <c r="P33" s="45">
        <v>50</v>
      </c>
      <c r="Q33" s="48">
        <f>L33*O33*M33*0.0036</f>
        <v>1.728</v>
      </c>
      <c r="R33" s="48">
        <f>L33*P33*M33*0.0036</f>
        <v>43.199999999999996</v>
      </c>
      <c r="S33" s="48">
        <f aca="true" t="shared" si="27" ref="S33:S38">Q33*30</f>
        <v>51.839999999999996</v>
      </c>
      <c r="T33" s="48">
        <f aca="true" t="shared" si="28" ref="T33:T38">R33*30</f>
        <v>1295.9999999999998</v>
      </c>
      <c r="U33" s="48">
        <f t="shared" si="24"/>
        <v>630.72</v>
      </c>
      <c r="V33" s="50">
        <f t="shared" si="25"/>
        <v>15767.999999999998</v>
      </c>
      <c r="W33" s="50">
        <f t="shared" si="26"/>
        <v>630.72</v>
      </c>
      <c r="X33" s="50">
        <f t="shared" si="26"/>
        <v>15767.999999999998</v>
      </c>
      <c r="Y33" s="5" t="s">
        <v>45</v>
      </c>
    </row>
    <row r="34" spans="2:25" ht="57.75" customHeight="1" thickBot="1">
      <c r="B34" s="41" t="s">
        <v>22</v>
      </c>
      <c r="C34" s="41" t="s">
        <v>23</v>
      </c>
      <c r="D34" s="41" t="s">
        <v>40</v>
      </c>
      <c r="E34" s="41">
        <v>1</v>
      </c>
      <c r="F34" s="41" t="s">
        <v>25</v>
      </c>
      <c r="G34" s="43" t="s">
        <v>46</v>
      </c>
      <c r="H34" s="44" t="s">
        <v>42</v>
      </c>
      <c r="I34" s="45" t="s">
        <v>28</v>
      </c>
      <c r="J34" s="45" t="s">
        <v>28</v>
      </c>
      <c r="K34" s="45" t="s">
        <v>28</v>
      </c>
      <c r="L34" s="45">
        <v>20</v>
      </c>
      <c r="M34" s="45">
        <v>24</v>
      </c>
      <c r="N34" s="45">
        <v>30</v>
      </c>
      <c r="O34" s="45">
        <v>2</v>
      </c>
      <c r="P34" s="45">
        <v>50</v>
      </c>
      <c r="Q34" s="48">
        <f>L34*O34*M34*0.0036</f>
        <v>3.456</v>
      </c>
      <c r="R34" s="48">
        <f>L34*P34*M34*0.0036</f>
        <v>86.39999999999999</v>
      </c>
      <c r="S34" s="48">
        <f t="shared" si="27"/>
        <v>103.67999999999999</v>
      </c>
      <c r="T34" s="48">
        <f t="shared" si="28"/>
        <v>2591.9999999999995</v>
      </c>
      <c r="U34" s="48">
        <f t="shared" si="24"/>
        <v>1261.44</v>
      </c>
      <c r="V34" s="50">
        <f t="shared" si="25"/>
        <v>31535.999999999996</v>
      </c>
      <c r="W34" s="50">
        <f t="shared" si="26"/>
        <v>1261.44</v>
      </c>
      <c r="X34" s="50">
        <f t="shared" si="26"/>
        <v>31535.999999999996</v>
      </c>
      <c r="Y34" s="5" t="s">
        <v>45</v>
      </c>
    </row>
    <row r="35" spans="2:25" ht="57.75" customHeight="1" thickBot="1">
      <c r="B35" s="41" t="s">
        <v>22</v>
      </c>
      <c r="C35" s="41" t="s">
        <v>23</v>
      </c>
      <c r="D35" s="41" t="s">
        <v>40</v>
      </c>
      <c r="E35" s="41">
        <v>1</v>
      </c>
      <c r="F35" s="41" t="s">
        <v>25</v>
      </c>
      <c r="G35" s="43" t="s">
        <v>47</v>
      </c>
      <c r="H35" s="44" t="s">
        <v>42</v>
      </c>
      <c r="I35" s="45" t="s">
        <v>28</v>
      </c>
      <c r="J35" s="45" t="s">
        <v>28</v>
      </c>
      <c r="K35" s="45" t="s">
        <v>28</v>
      </c>
      <c r="L35" s="45" t="s">
        <v>28</v>
      </c>
      <c r="M35" s="45" t="s">
        <v>28</v>
      </c>
      <c r="N35" s="45" t="s">
        <v>28</v>
      </c>
      <c r="O35" s="45" t="s">
        <v>28</v>
      </c>
      <c r="P35" s="45" t="s">
        <v>28</v>
      </c>
      <c r="Q35" s="48">
        <v>7.52</v>
      </c>
      <c r="R35" s="48">
        <v>11.1</v>
      </c>
      <c r="S35" s="48">
        <f t="shared" si="27"/>
        <v>225.6</v>
      </c>
      <c r="T35" s="48">
        <f t="shared" si="28"/>
        <v>333</v>
      </c>
      <c r="U35" s="48">
        <f t="shared" si="24"/>
        <v>2744.7999999999997</v>
      </c>
      <c r="V35" s="50">
        <f t="shared" si="25"/>
        <v>4051.5</v>
      </c>
      <c r="W35" s="50">
        <f>U35*0.7</f>
        <v>1921.3599999999997</v>
      </c>
      <c r="X35" s="50">
        <f>V35*0.69</f>
        <v>2795.535</v>
      </c>
      <c r="Y35" s="5" t="s">
        <v>109</v>
      </c>
    </row>
    <row r="36" spans="2:25" ht="57.75" customHeight="1" thickBot="1">
      <c r="B36" s="41" t="s">
        <v>22</v>
      </c>
      <c r="C36" s="41" t="s">
        <v>23</v>
      </c>
      <c r="D36" s="41" t="s">
        <v>49</v>
      </c>
      <c r="E36" s="41">
        <v>1</v>
      </c>
      <c r="F36" s="41" t="s">
        <v>25</v>
      </c>
      <c r="G36" s="43" t="s">
        <v>50</v>
      </c>
      <c r="H36" s="44" t="s">
        <v>42</v>
      </c>
      <c r="I36" s="45" t="s">
        <v>28</v>
      </c>
      <c r="J36" s="45" t="s">
        <v>28</v>
      </c>
      <c r="K36" s="45" t="s">
        <v>28</v>
      </c>
      <c r="L36" s="45">
        <v>1</v>
      </c>
      <c r="M36" s="45">
        <v>24</v>
      </c>
      <c r="N36" s="45">
        <v>30</v>
      </c>
      <c r="O36" s="45">
        <v>50</v>
      </c>
      <c r="P36" s="45">
        <v>50</v>
      </c>
      <c r="Q36" s="51">
        <f>L36*O36*0.0036*M36</f>
        <v>4.32</v>
      </c>
      <c r="R36" s="51">
        <f>L36*P36*0.0036*M36</f>
        <v>4.32</v>
      </c>
      <c r="S36" s="51">
        <f>Q36*30</f>
        <v>129.60000000000002</v>
      </c>
      <c r="T36" s="48">
        <f>R36*30</f>
        <v>129.60000000000002</v>
      </c>
      <c r="U36" s="48">
        <f>Q36*365</f>
        <v>1576.8000000000002</v>
      </c>
      <c r="V36" s="50">
        <f>R36*365</f>
        <v>1576.8000000000002</v>
      </c>
      <c r="W36" s="50">
        <f t="shared" si="26"/>
        <v>1576.8000000000002</v>
      </c>
      <c r="X36" s="50">
        <f t="shared" si="26"/>
        <v>1576.8000000000002</v>
      </c>
      <c r="Y36" s="5" t="s">
        <v>111</v>
      </c>
    </row>
    <row r="37" spans="2:25" ht="57.75" customHeight="1" thickBot="1">
      <c r="B37" s="41" t="s">
        <v>22</v>
      </c>
      <c r="C37" s="41" t="s">
        <v>23</v>
      </c>
      <c r="D37" s="41" t="s">
        <v>166</v>
      </c>
      <c r="E37" s="41">
        <v>1</v>
      </c>
      <c r="F37" s="41" t="s">
        <v>25</v>
      </c>
      <c r="G37" s="43" t="s">
        <v>167</v>
      </c>
      <c r="H37" s="44" t="s">
        <v>42</v>
      </c>
      <c r="I37" s="45" t="s">
        <v>28</v>
      </c>
      <c r="J37" s="45" t="s">
        <v>28</v>
      </c>
      <c r="K37" s="45" t="s">
        <v>28</v>
      </c>
      <c r="L37" s="161">
        <v>3.031</v>
      </c>
      <c r="M37" s="45">
        <v>8</v>
      </c>
      <c r="N37" s="45">
        <v>30</v>
      </c>
      <c r="O37" s="45">
        <v>50</v>
      </c>
      <c r="P37" s="45">
        <v>50</v>
      </c>
      <c r="Q37" s="48">
        <f>O37*L37*M37*0.0036</f>
        <v>4.3646400000000005</v>
      </c>
      <c r="R37" s="48">
        <f>P37*L37*M37*0.0036</f>
        <v>4.3646400000000005</v>
      </c>
      <c r="S37" s="48">
        <f aca="true" t="shared" si="29" ref="S37">Q37*30</f>
        <v>130.93920000000003</v>
      </c>
      <c r="T37" s="48">
        <f aca="true" t="shared" si="30" ref="T37">R37*30</f>
        <v>130.93920000000003</v>
      </c>
      <c r="U37" s="48">
        <f aca="true" t="shared" si="31" ref="U37">Q37*365</f>
        <v>1593.0936000000002</v>
      </c>
      <c r="V37" s="50">
        <f aca="true" t="shared" si="32" ref="V37">R37*365</f>
        <v>1593.0936000000002</v>
      </c>
      <c r="W37" s="50">
        <f>U37</f>
        <v>1593.0936000000002</v>
      </c>
      <c r="X37" s="50">
        <f>V37</f>
        <v>1593.0936000000002</v>
      </c>
      <c r="Y37" s="21" t="s">
        <v>168</v>
      </c>
    </row>
    <row r="38" spans="2:25" s="20" customFormat="1" ht="57.75" customHeight="1" thickBot="1">
      <c r="B38" s="41" t="s">
        <v>22</v>
      </c>
      <c r="C38" s="41" t="s">
        <v>23</v>
      </c>
      <c r="D38" s="41" t="s">
        <v>52</v>
      </c>
      <c r="E38" s="41">
        <v>1</v>
      </c>
      <c r="F38" s="41" t="s">
        <v>25</v>
      </c>
      <c r="G38" s="43" t="s">
        <v>53</v>
      </c>
      <c r="H38" s="44" t="s">
        <v>42</v>
      </c>
      <c r="I38" s="45" t="s">
        <v>28</v>
      </c>
      <c r="J38" s="45" t="s">
        <v>28</v>
      </c>
      <c r="K38" s="45" t="s">
        <v>28</v>
      </c>
      <c r="L38" s="45">
        <v>0.3</v>
      </c>
      <c r="M38" s="45">
        <v>24</v>
      </c>
      <c r="N38" s="45">
        <v>30</v>
      </c>
      <c r="O38" s="45">
        <v>2</v>
      </c>
      <c r="P38" s="45">
        <v>193</v>
      </c>
      <c r="Q38" s="48">
        <f>L38*O38*M38*0.0036</f>
        <v>0.05183999999999999</v>
      </c>
      <c r="R38" s="48">
        <f>L38*P38*M38*0.0036</f>
        <v>5.00256</v>
      </c>
      <c r="S38" s="48">
        <f t="shared" si="27"/>
        <v>1.5551999999999997</v>
      </c>
      <c r="T38" s="48">
        <f t="shared" si="28"/>
        <v>150.0768</v>
      </c>
      <c r="U38" s="48">
        <f t="shared" si="24"/>
        <v>18.921599999999998</v>
      </c>
      <c r="V38" s="50">
        <f t="shared" si="25"/>
        <v>1825.9343999999999</v>
      </c>
      <c r="W38" s="50">
        <f t="shared" si="26"/>
        <v>18.921599999999998</v>
      </c>
      <c r="X38" s="50">
        <f>V38*0.26</f>
        <v>474.74294399999997</v>
      </c>
      <c r="Y38" s="21" t="s">
        <v>110</v>
      </c>
    </row>
    <row r="39" spans="1:25" ht="26.45" customHeight="1" thickBot="1">
      <c r="A39"/>
      <c r="B39" s="195" t="s">
        <v>95</v>
      </c>
      <c r="C39" s="196"/>
      <c r="D39" s="196"/>
      <c r="E39" s="196"/>
      <c r="F39" s="196"/>
      <c r="G39" s="196"/>
      <c r="H39" s="196"/>
      <c r="I39" s="196"/>
      <c r="J39" s="196"/>
      <c r="K39" s="196"/>
      <c r="L39" s="196"/>
      <c r="M39" s="196"/>
      <c r="N39" s="196"/>
      <c r="O39" s="196"/>
      <c r="P39" s="196"/>
      <c r="Q39" s="196"/>
      <c r="R39" s="196"/>
      <c r="S39" s="196"/>
      <c r="T39" s="197"/>
      <c r="U39" s="13">
        <f>SUM(U26:U38)</f>
        <v>219733.82519999996</v>
      </c>
      <c r="V39" s="13">
        <f>SUM(V26:V38)</f>
        <v>272146.628</v>
      </c>
      <c r="W39" s="13">
        <f>SUM(W26:W38)</f>
        <v>218910.38519999996</v>
      </c>
      <c r="X39" s="13">
        <f aca="true" t="shared" si="33" ref="X39">SUM(X26:X38)</f>
        <v>268664.34754399996</v>
      </c>
      <c r="Y39" s="5"/>
    </row>
    <row r="40" s="190" customFormat="1" ht="26.45" customHeight="1" thickBot="1"/>
    <row r="41" spans="2:25" ht="23.45" customHeight="1" thickBot="1">
      <c r="B41" s="184" t="s">
        <v>98</v>
      </c>
      <c r="C41" s="185"/>
      <c r="D41" s="185"/>
      <c r="E41" s="185"/>
      <c r="F41" s="185"/>
      <c r="G41" s="185"/>
      <c r="H41" s="185"/>
      <c r="I41" s="185"/>
      <c r="J41" s="185"/>
      <c r="K41" s="185"/>
      <c r="L41" s="185"/>
      <c r="M41" s="185"/>
      <c r="N41" s="185"/>
      <c r="O41" s="185"/>
      <c r="P41" s="185"/>
      <c r="Q41" s="185"/>
      <c r="R41" s="185"/>
      <c r="S41" s="185"/>
      <c r="T41" s="185"/>
      <c r="U41" s="185"/>
      <c r="V41" s="185"/>
      <c r="W41" s="185"/>
      <c r="X41" s="186"/>
      <c r="Y41" s="5"/>
    </row>
    <row r="42" spans="2:25" ht="57.75" customHeight="1" thickBot="1">
      <c r="B42" s="52" t="s">
        <v>22</v>
      </c>
      <c r="C42" s="52" t="s">
        <v>23</v>
      </c>
      <c r="D42" s="53" t="s">
        <v>24</v>
      </c>
      <c r="E42" s="52">
        <v>1</v>
      </c>
      <c r="F42" s="52" t="s">
        <v>25</v>
      </c>
      <c r="G42" s="54" t="s">
        <v>26</v>
      </c>
      <c r="H42" s="55" t="s">
        <v>27</v>
      </c>
      <c r="I42" s="56">
        <v>1407</v>
      </c>
      <c r="J42" s="57">
        <v>0.05</v>
      </c>
      <c r="K42" s="58">
        <v>0.05</v>
      </c>
      <c r="L42" s="57" t="s">
        <v>28</v>
      </c>
      <c r="M42" s="57" t="s">
        <v>28</v>
      </c>
      <c r="N42" s="57" t="s">
        <v>28</v>
      </c>
      <c r="O42" s="57" t="s">
        <v>28</v>
      </c>
      <c r="P42" s="57" t="s">
        <v>28</v>
      </c>
      <c r="Q42" s="59">
        <f>I42*J42</f>
        <v>70.35000000000001</v>
      </c>
      <c r="R42" s="59">
        <f>I42*K42</f>
        <v>70.35000000000001</v>
      </c>
      <c r="S42" s="60">
        <f>Q42*30</f>
        <v>2110.5000000000005</v>
      </c>
      <c r="T42" s="60">
        <f>R42*30</f>
        <v>2110.5000000000005</v>
      </c>
      <c r="U42" s="59">
        <f>Q42*365</f>
        <v>25677.750000000004</v>
      </c>
      <c r="V42" s="61">
        <f>R42*365</f>
        <v>25677.750000000004</v>
      </c>
      <c r="W42" s="61">
        <f aca="true" t="shared" si="34" ref="W42:X46">U42</f>
        <v>25677.750000000004</v>
      </c>
      <c r="X42" s="61">
        <f t="shared" si="34"/>
        <v>25677.750000000004</v>
      </c>
      <c r="Y42" s="5" t="s">
        <v>116</v>
      </c>
    </row>
    <row r="43" spans="2:25" ht="57.75" customHeight="1" thickBot="1">
      <c r="B43" s="52" t="s">
        <v>22</v>
      </c>
      <c r="C43" s="52" t="s">
        <v>23</v>
      </c>
      <c r="D43" s="53" t="s">
        <v>30</v>
      </c>
      <c r="E43" s="52">
        <v>1</v>
      </c>
      <c r="F43" s="52" t="s">
        <v>31</v>
      </c>
      <c r="G43" s="54" t="s">
        <v>32</v>
      </c>
      <c r="H43" s="55" t="s">
        <v>27</v>
      </c>
      <c r="I43" s="56">
        <v>465</v>
      </c>
      <c r="J43" s="57">
        <v>0.05</v>
      </c>
      <c r="K43" s="58">
        <v>0.05</v>
      </c>
      <c r="L43" s="57" t="s">
        <v>28</v>
      </c>
      <c r="M43" s="57" t="s">
        <v>28</v>
      </c>
      <c r="N43" s="57" t="s">
        <v>28</v>
      </c>
      <c r="O43" s="57" t="s">
        <v>28</v>
      </c>
      <c r="P43" s="57" t="s">
        <v>28</v>
      </c>
      <c r="Q43" s="59">
        <f>I43*J43</f>
        <v>23.25</v>
      </c>
      <c r="R43" s="59">
        <f>I43*K43</f>
        <v>23.25</v>
      </c>
      <c r="S43" s="60">
        <f aca="true" t="shared" si="35" ref="S43:S46">Q43*30</f>
        <v>697.5</v>
      </c>
      <c r="T43" s="60">
        <f aca="true" t="shared" si="36" ref="T43:T44">R43*30</f>
        <v>697.5</v>
      </c>
      <c r="U43" s="59">
        <f>Q43*365</f>
        <v>8486.25</v>
      </c>
      <c r="V43" s="61">
        <f aca="true" t="shared" si="37" ref="V43:V46">R43*365</f>
        <v>8486.25</v>
      </c>
      <c r="W43" s="61">
        <f t="shared" si="34"/>
        <v>8486.25</v>
      </c>
      <c r="X43" s="61">
        <f t="shared" si="34"/>
        <v>8486.25</v>
      </c>
      <c r="Y43" s="5" t="s">
        <v>29</v>
      </c>
    </row>
    <row r="44" spans="2:25" ht="57.75" customHeight="1" thickBot="1">
      <c r="B44" s="52" t="s">
        <v>22</v>
      </c>
      <c r="C44" s="52" t="s">
        <v>23</v>
      </c>
      <c r="D44" s="53" t="s">
        <v>33</v>
      </c>
      <c r="E44" s="52">
        <v>1</v>
      </c>
      <c r="F44" s="52" t="s">
        <v>31</v>
      </c>
      <c r="G44" s="54" t="s">
        <v>34</v>
      </c>
      <c r="H44" s="55" t="s">
        <v>27</v>
      </c>
      <c r="I44" s="56">
        <v>857</v>
      </c>
      <c r="J44" s="57">
        <v>0.05</v>
      </c>
      <c r="K44" s="58">
        <v>0.05</v>
      </c>
      <c r="L44" s="57" t="s">
        <v>28</v>
      </c>
      <c r="M44" s="57" t="s">
        <v>28</v>
      </c>
      <c r="N44" s="57" t="s">
        <v>28</v>
      </c>
      <c r="O44" s="57" t="s">
        <v>28</v>
      </c>
      <c r="P44" s="57" t="s">
        <v>28</v>
      </c>
      <c r="Q44" s="59">
        <f>I44*J44</f>
        <v>42.85</v>
      </c>
      <c r="R44" s="59">
        <f>I44*K44</f>
        <v>42.85</v>
      </c>
      <c r="S44" s="60">
        <f t="shared" si="35"/>
        <v>1285.5</v>
      </c>
      <c r="T44" s="60">
        <f t="shared" si="36"/>
        <v>1285.5</v>
      </c>
      <c r="U44" s="59">
        <f aca="true" t="shared" si="38" ref="U44:U46">Q44*365</f>
        <v>15640.25</v>
      </c>
      <c r="V44" s="61">
        <f t="shared" si="37"/>
        <v>15640.25</v>
      </c>
      <c r="W44" s="61">
        <f t="shared" si="34"/>
        <v>15640.25</v>
      </c>
      <c r="X44" s="61">
        <f t="shared" si="34"/>
        <v>15640.25</v>
      </c>
      <c r="Y44" s="5" t="s">
        <v>113</v>
      </c>
    </row>
    <row r="45" spans="2:25" ht="57.75" customHeight="1" thickBot="1">
      <c r="B45" s="52" t="s">
        <v>22</v>
      </c>
      <c r="C45" s="52" t="s">
        <v>23</v>
      </c>
      <c r="D45" s="53" t="s">
        <v>35</v>
      </c>
      <c r="E45" s="52">
        <v>1</v>
      </c>
      <c r="F45" s="52" t="s">
        <v>31</v>
      </c>
      <c r="G45" s="54" t="s">
        <v>36</v>
      </c>
      <c r="H45" s="55" t="s">
        <v>27</v>
      </c>
      <c r="I45" s="56">
        <v>6612</v>
      </c>
      <c r="J45" s="57">
        <v>0.05</v>
      </c>
      <c r="K45" s="58">
        <v>0.05</v>
      </c>
      <c r="L45" s="57" t="s">
        <v>28</v>
      </c>
      <c r="M45" s="57" t="s">
        <v>28</v>
      </c>
      <c r="N45" s="57" t="s">
        <v>28</v>
      </c>
      <c r="O45" s="57" t="s">
        <v>28</v>
      </c>
      <c r="P45" s="57" t="s">
        <v>28</v>
      </c>
      <c r="Q45" s="59">
        <f>I45*J45</f>
        <v>330.6</v>
      </c>
      <c r="R45" s="59">
        <f>I45*K45</f>
        <v>330.6</v>
      </c>
      <c r="S45" s="60">
        <f t="shared" si="35"/>
        <v>9918</v>
      </c>
      <c r="T45" s="60">
        <f>R45*30</f>
        <v>9918</v>
      </c>
      <c r="U45" s="59">
        <f t="shared" si="38"/>
        <v>120669.00000000001</v>
      </c>
      <c r="V45" s="61">
        <f t="shared" si="37"/>
        <v>120669.00000000001</v>
      </c>
      <c r="W45" s="61">
        <f t="shared" si="34"/>
        <v>120669.00000000001</v>
      </c>
      <c r="X45" s="61">
        <f t="shared" si="34"/>
        <v>120669.00000000001</v>
      </c>
      <c r="Y45" s="5" t="s">
        <v>105</v>
      </c>
    </row>
    <row r="46" spans="2:25" ht="57.75" customHeight="1" thickBot="1">
      <c r="B46" s="52" t="s">
        <v>22</v>
      </c>
      <c r="C46" s="52" t="s">
        <v>23</v>
      </c>
      <c r="D46" s="53" t="s">
        <v>37</v>
      </c>
      <c r="E46" s="52">
        <v>1</v>
      </c>
      <c r="F46" s="52" t="s">
        <v>31</v>
      </c>
      <c r="G46" s="54" t="s">
        <v>38</v>
      </c>
      <c r="H46" s="55" t="s">
        <v>27</v>
      </c>
      <c r="I46" s="56">
        <v>2353</v>
      </c>
      <c r="J46" s="57">
        <v>0.05</v>
      </c>
      <c r="K46" s="58">
        <v>0.05</v>
      </c>
      <c r="L46" s="57" t="s">
        <v>28</v>
      </c>
      <c r="M46" s="57" t="s">
        <v>28</v>
      </c>
      <c r="N46" s="57" t="s">
        <v>28</v>
      </c>
      <c r="O46" s="57" t="s">
        <v>28</v>
      </c>
      <c r="P46" s="57" t="s">
        <v>28</v>
      </c>
      <c r="Q46" s="59">
        <f>I46*J46</f>
        <v>117.65</v>
      </c>
      <c r="R46" s="59">
        <f>I46*K46</f>
        <v>117.65</v>
      </c>
      <c r="S46" s="60">
        <f t="shared" si="35"/>
        <v>3529.5</v>
      </c>
      <c r="T46" s="60">
        <f aca="true" t="shared" si="39" ref="T46">R46*30</f>
        <v>3529.5</v>
      </c>
      <c r="U46" s="59">
        <f t="shared" si="38"/>
        <v>42942.25</v>
      </c>
      <c r="V46" s="61">
        <f t="shared" si="37"/>
        <v>42942.25</v>
      </c>
      <c r="W46" s="61">
        <f t="shared" si="34"/>
        <v>42942.25</v>
      </c>
      <c r="X46" s="61">
        <f t="shared" si="34"/>
        <v>42942.25</v>
      </c>
      <c r="Y46" s="5" t="s">
        <v>107</v>
      </c>
    </row>
    <row r="47" spans="2:25" ht="21.6" customHeight="1" thickBot="1">
      <c r="B47" s="184" t="s">
        <v>39</v>
      </c>
      <c r="C47" s="185"/>
      <c r="D47" s="185"/>
      <c r="E47" s="185"/>
      <c r="F47" s="185"/>
      <c r="G47" s="185"/>
      <c r="H47" s="185"/>
      <c r="I47" s="185"/>
      <c r="J47" s="185"/>
      <c r="K47" s="185"/>
      <c r="L47" s="185"/>
      <c r="M47" s="185"/>
      <c r="N47" s="185"/>
      <c r="O47" s="185"/>
      <c r="P47" s="185"/>
      <c r="Q47" s="185"/>
      <c r="R47" s="185"/>
      <c r="S47" s="185"/>
      <c r="T47" s="185"/>
      <c r="U47" s="185"/>
      <c r="V47" s="185"/>
      <c r="W47" s="15"/>
      <c r="X47" s="15"/>
      <c r="Y47" s="5"/>
    </row>
    <row r="48" spans="2:25" ht="57.75" customHeight="1" thickBot="1">
      <c r="B48" s="52" t="s">
        <v>22</v>
      </c>
      <c r="C48" s="52" t="s">
        <v>23</v>
      </c>
      <c r="D48" s="52" t="s">
        <v>40</v>
      </c>
      <c r="E48" s="52">
        <v>1</v>
      </c>
      <c r="F48" s="52" t="s">
        <v>25</v>
      </c>
      <c r="G48" s="54" t="s">
        <v>41</v>
      </c>
      <c r="H48" s="55" t="s">
        <v>42</v>
      </c>
      <c r="I48" s="56" t="s">
        <v>28</v>
      </c>
      <c r="J48" s="56" t="s">
        <v>28</v>
      </c>
      <c r="K48" s="56" t="s">
        <v>28</v>
      </c>
      <c r="L48" s="56" t="s">
        <v>28</v>
      </c>
      <c r="M48" s="56" t="s">
        <v>28</v>
      </c>
      <c r="N48" s="56" t="s">
        <v>28</v>
      </c>
      <c r="O48" s="56" t="s">
        <v>28</v>
      </c>
      <c r="P48" s="56" t="s">
        <v>28</v>
      </c>
      <c r="Q48" s="59">
        <v>2.67</v>
      </c>
      <c r="R48" s="59">
        <v>13.32</v>
      </c>
      <c r="S48" s="59">
        <f aca="true" t="shared" si="40" ref="S48">Q48*30</f>
        <v>80.1</v>
      </c>
      <c r="T48" s="59">
        <f aca="true" t="shared" si="41" ref="T48">R48*30</f>
        <v>399.6</v>
      </c>
      <c r="U48" s="59">
        <f aca="true" t="shared" si="42" ref="U48:U54">Q48*365</f>
        <v>974.55</v>
      </c>
      <c r="V48" s="61">
        <f aca="true" t="shared" si="43" ref="V48:V54">R48*365</f>
        <v>4861.8</v>
      </c>
      <c r="W48" s="61">
        <f aca="true" t="shared" si="44" ref="W48:X54">U48</f>
        <v>974.55</v>
      </c>
      <c r="X48" s="61">
        <f>V48*0.82</f>
        <v>3986.676</v>
      </c>
      <c r="Y48" s="5" t="s">
        <v>114</v>
      </c>
    </row>
    <row r="49" spans="2:25" ht="57.75" customHeight="1" thickBot="1">
      <c r="B49" s="52" t="s">
        <v>22</v>
      </c>
      <c r="C49" s="52" t="s">
        <v>23</v>
      </c>
      <c r="D49" s="52" t="s">
        <v>43</v>
      </c>
      <c r="E49" s="52">
        <v>1</v>
      </c>
      <c r="F49" s="52" t="s">
        <v>25</v>
      </c>
      <c r="G49" s="54" t="s">
        <v>44</v>
      </c>
      <c r="H49" s="55" t="s">
        <v>42</v>
      </c>
      <c r="I49" s="56" t="s">
        <v>28</v>
      </c>
      <c r="J49" s="56" t="s">
        <v>28</v>
      </c>
      <c r="K49" s="56" t="s">
        <v>28</v>
      </c>
      <c r="L49" s="56">
        <v>10</v>
      </c>
      <c r="M49" s="56">
        <v>24</v>
      </c>
      <c r="N49" s="56">
        <v>30</v>
      </c>
      <c r="O49" s="56">
        <v>2</v>
      </c>
      <c r="P49" s="56">
        <v>50</v>
      </c>
      <c r="Q49" s="59">
        <f>L49*O49*M49*0.0036</f>
        <v>1.728</v>
      </c>
      <c r="R49" s="59">
        <f>L49*P49*M49*0.0036</f>
        <v>43.199999999999996</v>
      </c>
      <c r="S49" s="59">
        <f aca="true" t="shared" si="45" ref="S49:S54">Q49*30</f>
        <v>51.839999999999996</v>
      </c>
      <c r="T49" s="59">
        <f aca="true" t="shared" si="46" ref="T49:T54">R49*30</f>
        <v>1295.9999999999998</v>
      </c>
      <c r="U49" s="59">
        <f t="shared" si="42"/>
        <v>630.72</v>
      </c>
      <c r="V49" s="61">
        <f t="shared" si="43"/>
        <v>15767.999999999998</v>
      </c>
      <c r="W49" s="61">
        <f t="shared" si="44"/>
        <v>630.72</v>
      </c>
      <c r="X49" s="61">
        <f t="shared" si="44"/>
        <v>15767.999999999998</v>
      </c>
      <c r="Y49" s="5" t="s">
        <v>45</v>
      </c>
    </row>
    <row r="50" spans="2:25" ht="57.75" customHeight="1" thickBot="1">
      <c r="B50" s="52" t="s">
        <v>22</v>
      </c>
      <c r="C50" s="52" t="s">
        <v>23</v>
      </c>
      <c r="D50" s="52" t="s">
        <v>40</v>
      </c>
      <c r="E50" s="52">
        <v>1</v>
      </c>
      <c r="F50" s="52" t="s">
        <v>25</v>
      </c>
      <c r="G50" s="54" t="s">
        <v>46</v>
      </c>
      <c r="H50" s="55" t="s">
        <v>42</v>
      </c>
      <c r="I50" s="56" t="s">
        <v>28</v>
      </c>
      <c r="J50" s="56" t="s">
        <v>28</v>
      </c>
      <c r="K50" s="56" t="s">
        <v>28</v>
      </c>
      <c r="L50" s="56">
        <v>20</v>
      </c>
      <c r="M50" s="56">
        <v>24</v>
      </c>
      <c r="N50" s="56">
        <v>30</v>
      </c>
      <c r="O50" s="56">
        <v>2</v>
      </c>
      <c r="P50" s="56">
        <v>50</v>
      </c>
      <c r="Q50" s="59">
        <f>L50*O50*M50*0.0036</f>
        <v>3.456</v>
      </c>
      <c r="R50" s="59">
        <f>L50*P50*M50*0.0036</f>
        <v>86.39999999999999</v>
      </c>
      <c r="S50" s="59">
        <f t="shared" si="45"/>
        <v>103.67999999999999</v>
      </c>
      <c r="T50" s="59">
        <f t="shared" si="46"/>
        <v>2591.9999999999995</v>
      </c>
      <c r="U50" s="59">
        <f t="shared" si="42"/>
        <v>1261.44</v>
      </c>
      <c r="V50" s="61">
        <f t="shared" si="43"/>
        <v>31535.999999999996</v>
      </c>
      <c r="W50" s="61">
        <f t="shared" si="44"/>
        <v>1261.44</v>
      </c>
      <c r="X50" s="61">
        <f t="shared" si="44"/>
        <v>31535.999999999996</v>
      </c>
      <c r="Y50" s="5" t="s">
        <v>45</v>
      </c>
    </row>
    <row r="51" spans="2:25" ht="57.75" customHeight="1" thickBot="1">
      <c r="B51" s="52" t="s">
        <v>22</v>
      </c>
      <c r="C51" s="52" t="s">
        <v>23</v>
      </c>
      <c r="D51" s="52" t="s">
        <v>40</v>
      </c>
      <c r="E51" s="52">
        <v>1</v>
      </c>
      <c r="F51" s="52" t="s">
        <v>25</v>
      </c>
      <c r="G51" s="54" t="s">
        <v>47</v>
      </c>
      <c r="H51" s="55" t="s">
        <v>42</v>
      </c>
      <c r="I51" s="56" t="s">
        <v>28</v>
      </c>
      <c r="J51" s="56" t="s">
        <v>28</v>
      </c>
      <c r="K51" s="56" t="s">
        <v>28</v>
      </c>
      <c r="L51" s="56" t="s">
        <v>28</v>
      </c>
      <c r="M51" s="56" t="s">
        <v>28</v>
      </c>
      <c r="N51" s="56" t="s">
        <v>28</v>
      </c>
      <c r="O51" s="56" t="s">
        <v>28</v>
      </c>
      <c r="P51" s="56" t="s">
        <v>28</v>
      </c>
      <c r="Q51" s="59">
        <v>7.52</v>
      </c>
      <c r="R51" s="59">
        <v>11.1</v>
      </c>
      <c r="S51" s="59">
        <f t="shared" si="45"/>
        <v>225.6</v>
      </c>
      <c r="T51" s="59">
        <f t="shared" si="46"/>
        <v>333</v>
      </c>
      <c r="U51" s="59">
        <f t="shared" si="42"/>
        <v>2744.7999999999997</v>
      </c>
      <c r="V51" s="61">
        <f t="shared" si="43"/>
        <v>4051.5</v>
      </c>
      <c r="W51" s="61">
        <f>U51*0.7</f>
        <v>1921.3599999999997</v>
      </c>
      <c r="X51" s="61">
        <f>V51*0.69</f>
        <v>2795.535</v>
      </c>
      <c r="Y51" s="5" t="s">
        <v>109</v>
      </c>
    </row>
    <row r="52" spans="2:25" ht="57.75" customHeight="1" thickBot="1">
      <c r="B52" s="52" t="s">
        <v>22</v>
      </c>
      <c r="C52" s="52" t="s">
        <v>23</v>
      </c>
      <c r="D52" s="52" t="s">
        <v>49</v>
      </c>
      <c r="E52" s="52">
        <v>1</v>
      </c>
      <c r="F52" s="52" t="s">
        <v>25</v>
      </c>
      <c r="G52" s="54" t="s">
        <v>50</v>
      </c>
      <c r="H52" s="55" t="s">
        <v>42</v>
      </c>
      <c r="I52" s="56" t="s">
        <v>28</v>
      </c>
      <c r="J52" s="56" t="s">
        <v>28</v>
      </c>
      <c r="K52" s="56" t="s">
        <v>28</v>
      </c>
      <c r="L52" s="56">
        <v>1</v>
      </c>
      <c r="M52" s="56">
        <v>24</v>
      </c>
      <c r="N52" s="56">
        <v>30</v>
      </c>
      <c r="O52" s="56">
        <v>50</v>
      </c>
      <c r="P52" s="56">
        <v>50</v>
      </c>
      <c r="Q52" s="62">
        <f>L52*O52*0.0036*M52</f>
        <v>4.32</v>
      </c>
      <c r="R52" s="62">
        <f>L52*P52*0.0036*M52</f>
        <v>4.32</v>
      </c>
      <c r="S52" s="62">
        <f>Q52*30</f>
        <v>129.60000000000002</v>
      </c>
      <c r="T52" s="59">
        <f>R52*30</f>
        <v>129.60000000000002</v>
      </c>
      <c r="U52" s="59">
        <f>Q52*365</f>
        <v>1576.8000000000002</v>
      </c>
      <c r="V52" s="61">
        <f>R52*365</f>
        <v>1576.8000000000002</v>
      </c>
      <c r="W52" s="61">
        <f t="shared" si="44"/>
        <v>1576.8000000000002</v>
      </c>
      <c r="X52" s="61">
        <f t="shared" si="44"/>
        <v>1576.8000000000002</v>
      </c>
      <c r="Y52" s="5" t="s">
        <v>111</v>
      </c>
    </row>
    <row r="53" spans="2:25" ht="57.75" customHeight="1" thickBot="1">
      <c r="B53" s="52" t="s">
        <v>22</v>
      </c>
      <c r="C53" s="52" t="s">
        <v>23</v>
      </c>
      <c r="D53" s="52" t="s">
        <v>166</v>
      </c>
      <c r="E53" s="52">
        <v>1</v>
      </c>
      <c r="F53" s="52" t="s">
        <v>25</v>
      </c>
      <c r="G53" s="54" t="s">
        <v>167</v>
      </c>
      <c r="H53" s="55" t="s">
        <v>42</v>
      </c>
      <c r="I53" s="56" t="s">
        <v>28</v>
      </c>
      <c r="J53" s="56" t="s">
        <v>28</v>
      </c>
      <c r="K53" s="56" t="s">
        <v>28</v>
      </c>
      <c r="L53" s="162">
        <v>3.031</v>
      </c>
      <c r="M53" s="56">
        <v>8</v>
      </c>
      <c r="N53" s="56">
        <v>30</v>
      </c>
      <c r="O53" s="56">
        <v>50</v>
      </c>
      <c r="P53" s="56">
        <v>50</v>
      </c>
      <c r="Q53" s="59">
        <f>O53*L53*M53*0.0036</f>
        <v>4.3646400000000005</v>
      </c>
      <c r="R53" s="59">
        <f>P53*L53*M53*0.0036</f>
        <v>4.3646400000000005</v>
      </c>
      <c r="S53" s="59">
        <f aca="true" t="shared" si="47" ref="S53">Q53*30</f>
        <v>130.93920000000003</v>
      </c>
      <c r="T53" s="59">
        <f aca="true" t="shared" si="48" ref="T53">R53*30</f>
        <v>130.93920000000003</v>
      </c>
      <c r="U53" s="59">
        <f aca="true" t="shared" si="49" ref="U53">Q53*365</f>
        <v>1593.0936000000002</v>
      </c>
      <c r="V53" s="61">
        <f aca="true" t="shared" si="50" ref="V53">R53*365</f>
        <v>1593.0936000000002</v>
      </c>
      <c r="W53" s="61">
        <f>U53</f>
        <v>1593.0936000000002</v>
      </c>
      <c r="X53" s="61">
        <f>V53</f>
        <v>1593.0936000000002</v>
      </c>
      <c r="Y53" s="21" t="s">
        <v>168</v>
      </c>
    </row>
    <row r="54" spans="2:25" s="20" customFormat="1" ht="57.75" customHeight="1" thickBot="1">
      <c r="B54" s="52" t="s">
        <v>22</v>
      </c>
      <c r="C54" s="52" t="s">
        <v>23</v>
      </c>
      <c r="D54" s="52" t="s">
        <v>52</v>
      </c>
      <c r="E54" s="52">
        <v>1</v>
      </c>
      <c r="F54" s="52" t="s">
        <v>25</v>
      </c>
      <c r="G54" s="54" t="s">
        <v>53</v>
      </c>
      <c r="H54" s="55" t="s">
        <v>42</v>
      </c>
      <c r="I54" s="56" t="s">
        <v>28</v>
      </c>
      <c r="J54" s="56" t="s">
        <v>28</v>
      </c>
      <c r="K54" s="56" t="s">
        <v>28</v>
      </c>
      <c r="L54" s="56">
        <v>0.3</v>
      </c>
      <c r="M54" s="56">
        <v>24</v>
      </c>
      <c r="N54" s="56">
        <v>30</v>
      </c>
      <c r="O54" s="56">
        <v>2</v>
      </c>
      <c r="P54" s="56">
        <v>193</v>
      </c>
      <c r="Q54" s="59">
        <f>L54*O54*M54*0.0036</f>
        <v>0.05183999999999999</v>
      </c>
      <c r="R54" s="59">
        <f>L54*P54*M54*0.0036</f>
        <v>5.00256</v>
      </c>
      <c r="S54" s="59">
        <f t="shared" si="45"/>
        <v>1.5551999999999997</v>
      </c>
      <c r="T54" s="59">
        <f t="shared" si="46"/>
        <v>150.0768</v>
      </c>
      <c r="U54" s="59">
        <f t="shared" si="42"/>
        <v>18.921599999999998</v>
      </c>
      <c r="V54" s="61">
        <f t="shared" si="43"/>
        <v>1825.9343999999999</v>
      </c>
      <c r="W54" s="61">
        <f t="shared" si="44"/>
        <v>18.921599999999998</v>
      </c>
      <c r="X54" s="61">
        <f>V54*0.26</f>
        <v>474.74294399999997</v>
      </c>
      <c r="Y54" s="21" t="s">
        <v>110</v>
      </c>
    </row>
    <row r="55" spans="1:25" ht="26.45" customHeight="1" thickBot="1">
      <c r="A55"/>
      <c r="B55" s="187" t="s">
        <v>97</v>
      </c>
      <c r="C55" s="188"/>
      <c r="D55" s="188"/>
      <c r="E55" s="188"/>
      <c r="F55" s="188"/>
      <c r="G55" s="188"/>
      <c r="H55" s="188"/>
      <c r="I55" s="188"/>
      <c r="J55" s="188"/>
      <c r="K55" s="188"/>
      <c r="L55" s="188"/>
      <c r="M55" s="188"/>
      <c r="N55" s="188"/>
      <c r="O55" s="188"/>
      <c r="P55" s="188"/>
      <c r="Q55" s="188"/>
      <c r="R55" s="188"/>
      <c r="S55" s="188"/>
      <c r="T55" s="189"/>
      <c r="U55" s="14">
        <f>SUM(U42:U54)</f>
        <v>222215.82519999996</v>
      </c>
      <c r="V55" s="14">
        <f>SUM(V42:V54)</f>
        <v>274628.628</v>
      </c>
      <c r="W55" s="14">
        <f>SUM(W42:W54)</f>
        <v>221392.38519999996</v>
      </c>
      <c r="X55" s="14">
        <f aca="true" t="shared" si="51" ref="X55">SUM(X42:X54)</f>
        <v>271146.34754399996</v>
      </c>
      <c r="Y55" s="5"/>
    </row>
    <row r="56" s="169" customFormat="1" ht="26.45" customHeight="1" thickBot="1"/>
    <row r="57" spans="2:25" ht="23.45" customHeight="1" thickBot="1">
      <c r="B57" s="176" t="s">
        <v>99</v>
      </c>
      <c r="C57" s="177"/>
      <c r="D57" s="177"/>
      <c r="E57" s="177"/>
      <c r="F57" s="177"/>
      <c r="G57" s="177"/>
      <c r="H57" s="177"/>
      <c r="I57" s="177"/>
      <c r="J57" s="177"/>
      <c r="K57" s="177"/>
      <c r="L57" s="177"/>
      <c r="M57" s="177"/>
      <c r="N57" s="177"/>
      <c r="O57" s="177"/>
      <c r="P57" s="177"/>
      <c r="Q57" s="177"/>
      <c r="R57" s="177"/>
      <c r="S57" s="177"/>
      <c r="T57" s="177"/>
      <c r="U57" s="177"/>
      <c r="V57" s="177"/>
      <c r="W57" s="177"/>
      <c r="X57" s="191"/>
      <c r="Y57" s="5"/>
    </row>
    <row r="58" spans="2:25" ht="57.75" customHeight="1" thickBot="1">
      <c r="B58" s="63" t="s">
        <v>22</v>
      </c>
      <c r="C58" s="63" t="s">
        <v>23</v>
      </c>
      <c r="D58" s="64" t="s">
        <v>24</v>
      </c>
      <c r="E58" s="63">
        <v>1</v>
      </c>
      <c r="F58" s="63" t="s">
        <v>25</v>
      </c>
      <c r="G58" s="65" t="s">
        <v>26</v>
      </c>
      <c r="H58" s="66" t="s">
        <v>27</v>
      </c>
      <c r="I58" s="67">
        <v>1423</v>
      </c>
      <c r="J58" s="68">
        <v>0.05</v>
      </c>
      <c r="K58" s="69">
        <v>0.05</v>
      </c>
      <c r="L58" s="68" t="s">
        <v>28</v>
      </c>
      <c r="M58" s="68" t="s">
        <v>28</v>
      </c>
      <c r="N58" s="68" t="s">
        <v>28</v>
      </c>
      <c r="O58" s="68" t="s">
        <v>28</v>
      </c>
      <c r="P58" s="68" t="s">
        <v>28</v>
      </c>
      <c r="Q58" s="70">
        <f>I58*J58</f>
        <v>71.15</v>
      </c>
      <c r="R58" s="70">
        <f>I58*K58</f>
        <v>71.15</v>
      </c>
      <c r="S58" s="71">
        <f>Q58*30</f>
        <v>2134.5</v>
      </c>
      <c r="T58" s="71">
        <f>R58*30</f>
        <v>2134.5</v>
      </c>
      <c r="U58" s="70">
        <f>Q58*365</f>
        <v>25969.750000000004</v>
      </c>
      <c r="V58" s="72">
        <f>R58*365</f>
        <v>25969.750000000004</v>
      </c>
      <c r="W58" s="72">
        <f>U58*0.2</f>
        <v>5193.950000000001</v>
      </c>
      <c r="X58" s="72">
        <f>V58*0.2</f>
        <v>5193.950000000001</v>
      </c>
      <c r="Y58" s="5" t="s">
        <v>117</v>
      </c>
    </row>
    <row r="59" spans="2:25" ht="57.75" customHeight="1" thickBot="1">
      <c r="B59" s="63" t="s">
        <v>22</v>
      </c>
      <c r="C59" s="63" t="s">
        <v>23</v>
      </c>
      <c r="D59" s="64" t="s">
        <v>30</v>
      </c>
      <c r="E59" s="63">
        <v>1</v>
      </c>
      <c r="F59" s="63" t="s">
        <v>31</v>
      </c>
      <c r="G59" s="65" t="s">
        <v>32</v>
      </c>
      <c r="H59" s="66" t="s">
        <v>27</v>
      </c>
      <c r="I59" s="67">
        <v>476</v>
      </c>
      <c r="J59" s="68">
        <v>0.05</v>
      </c>
      <c r="K59" s="69">
        <v>0.05</v>
      </c>
      <c r="L59" s="68" t="s">
        <v>28</v>
      </c>
      <c r="M59" s="68" t="s">
        <v>28</v>
      </c>
      <c r="N59" s="68" t="s">
        <v>28</v>
      </c>
      <c r="O59" s="68" t="s">
        <v>28</v>
      </c>
      <c r="P59" s="68" t="s">
        <v>28</v>
      </c>
      <c r="Q59" s="70">
        <f>I59*J59</f>
        <v>23.8</v>
      </c>
      <c r="R59" s="70">
        <f>I59*K59</f>
        <v>23.8</v>
      </c>
      <c r="S59" s="71">
        <f aca="true" t="shared" si="52" ref="S59:S62">Q59*30</f>
        <v>714</v>
      </c>
      <c r="T59" s="71">
        <f aca="true" t="shared" si="53" ref="T59:T60">R59*30</f>
        <v>714</v>
      </c>
      <c r="U59" s="70">
        <f>Q59*365</f>
        <v>8687</v>
      </c>
      <c r="V59" s="72">
        <f aca="true" t="shared" si="54" ref="V59:V62">R59*365</f>
        <v>8687</v>
      </c>
      <c r="W59" s="72">
        <f>U59*0.128</f>
        <v>1111.936</v>
      </c>
      <c r="X59" s="72">
        <f>V59*0.15</f>
        <v>1303.05</v>
      </c>
      <c r="Y59" s="5" t="s">
        <v>160</v>
      </c>
    </row>
    <row r="60" spans="2:25" ht="57.75" customHeight="1" thickBot="1">
      <c r="B60" s="63" t="s">
        <v>22</v>
      </c>
      <c r="C60" s="63" t="s">
        <v>23</v>
      </c>
      <c r="D60" s="64" t="s">
        <v>33</v>
      </c>
      <c r="E60" s="63">
        <v>1</v>
      </c>
      <c r="F60" s="63" t="s">
        <v>31</v>
      </c>
      <c r="G60" s="65" t="s">
        <v>34</v>
      </c>
      <c r="H60" s="66" t="s">
        <v>27</v>
      </c>
      <c r="I60" s="67">
        <v>869</v>
      </c>
      <c r="J60" s="68">
        <v>0.05</v>
      </c>
      <c r="K60" s="69">
        <v>0.05</v>
      </c>
      <c r="L60" s="68" t="s">
        <v>28</v>
      </c>
      <c r="M60" s="68" t="s">
        <v>28</v>
      </c>
      <c r="N60" s="68" t="s">
        <v>28</v>
      </c>
      <c r="O60" s="68" t="s">
        <v>28</v>
      </c>
      <c r="P60" s="68" t="s">
        <v>28</v>
      </c>
      <c r="Q60" s="70">
        <f>I60*J60</f>
        <v>43.45</v>
      </c>
      <c r="R60" s="70">
        <f>I60*K60</f>
        <v>43.45</v>
      </c>
      <c r="S60" s="71">
        <f t="shared" si="52"/>
        <v>1303.5</v>
      </c>
      <c r="T60" s="71">
        <f t="shared" si="53"/>
        <v>1303.5</v>
      </c>
      <c r="U60" s="70">
        <f aca="true" t="shared" si="55" ref="U60:U62">Q60*365</f>
        <v>15859.250000000002</v>
      </c>
      <c r="V60" s="72">
        <f t="shared" si="54"/>
        <v>15859.250000000002</v>
      </c>
      <c r="W60" s="72">
        <f>U60*0.2</f>
        <v>3171.8500000000004</v>
      </c>
      <c r="X60" s="72">
        <f>V60*0.2</f>
        <v>3171.8500000000004</v>
      </c>
      <c r="Y60" s="5" t="s">
        <v>169</v>
      </c>
    </row>
    <row r="61" spans="2:25" ht="57.75" customHeight="1" thickBot="1">
      <c r="B61" s="63" t="s">
        <v>22</v>
      </c>
      <c r="C61" s="63" t="s">
        <v>23</v>
      </c>
      <c r="D61" s="64" t="s">
        <v>35</v>
      </c>
      <c r="E61" s="63">
        <v>1</v>
      </c>
      <c r="F61" s="63" t="s">
        <v>31</v>
      </c>
      <c r="G61" s="65" t="s">
        <v>36</v>
      </c>
      <c r="H61" s="66" t="s">
        <v>27</v>
      </c>
      <c r="I61" s="67">
        <v>6695</v>
      </c>
      <c r="J61" s="68">
        <v>0.05</v>
      </c>
      <c r="K61" s="69">
        <v>0.05</v>
      </c>
      <c r="L61" s="68" t="s">
        <v>28</v>
      </c>
      <c r="M61" s="68" t="s">
        <v>28</v>
      </c>
      <c r="N61" s="68" t="s">
        <v>28</v>
      </c>
      <c r="O61" s="68" t="s">
        <v>28</v>
      </c>
      <c r="P61" s="68" t="s">
        <v>28</v>
      </c>
      <c r="Q61" s="70">
        <f>I61*J61</f>
        <v>334.75</v>
      </c>
      <c r="R61" s="70">
        <f>I61*K61</f>
        <v>334.75</v>
      </c>
      <c r="S61" s="71">
        <f t="shared" si="52"/>
        <v>10042.5</v>
      </c>
      <c r="T61" s="71">
        <f>R61*30</f>
        <v>10042.5</v>
      </c>
      <c r="U61" s="70">
        <f t="shared" si="55"/>
        <v>122183.75</v>
      </c>
      <c r="V61" s="72">
        <f t="shared" si="54"/>
        <v>122183.75</v>
      </c>
      <c r="W61" s="72">
        <f>U61*0.14</f>
        <v>17105.725000000002</v>
      </c>
      <c r="X61" s="72">
        <f>V61*0.14</f>
        <v>17105.725000000002</v>
      </c>
      <c r="Y61" s="5" t="s">
        <v>161</v>
      </c>
    </row>
    <row r="62" spans="2:25" ht="57.75" customHeight="1" thickBot="1">
      <c r="B62" s="63" t="s">
        <v>22</v>
      </c>
      <c r="C62" s="63" t="s">
        <v>23</v>
      </c>
      <c r="D62" s="64" t="s">
        <v>37</v>
      </c>
      <c r="E62" s="63">
        <v>1</v>
      </c>
      <c r="F62" s="63" t="s">
        <v>31</v>
      </c>
      <c r="G62" s="65" t="s">
        <v>38</v>
      </c>
      <c r="H62" s="66" t="s">
        <v>27</v>
      </c>
      <c r="I62" s="67">
        <v>2360</v>
      </c>
      <c r="J62" s="68">
        <v>0.05</v>
      </c>
      <c r="K62" s="69">
        <v>0.05</v>
      </c>
      <c r="L62" s="68" t="s">
        <v>28</v>
      </c>
      <c r="M62" s="68" t="s">
        <v>28</v>
      </c>
      <c r="N62" s="68" t="s">
        <v>28</v>
      </c>
      <c r="O62" s="68" t="s">
        <v>28</v>
      </c>
      <c r="P62" s="68" t="s">
        <v>28</v>
      </c>
      <c r="Q62" s="70">
        <f>I62*J62</f>
        <v>118</v>
      </c>
      <c r="R62" s="70">
        <f>I62*K62</f>
        <v>118</v>
      </c>
      <c r="S62" s="71">
        <f t="shared" si="52"/>
        <v>3540</v>
      </c>
      <c r="T62" s="71">
        <f aca="true" t="shared" si="56" ref="T62">R62*30</f>
        <v>3540</v>
      </c>
      <c r="U62" s="70">
        <f t="shared" si="55"/>
        <v>43070</v>
      </c>
      <c r="V62" s="72">
        <f t="shared" si="54"/>
        <v>43070</v>
      </c>
      <c r="W62" s="72">
        <f aca="true" t="shared" si="57" ref="W62:X62">U62</f>
        <v>43070</v>
      </c>
      <c r="X62" s="72">
        <f t="shared" si="57"/>
        <v>43070</v>
      </c>
      <c r="Y62" s="5" t="s">
        <v>107</v>
      </c>
    </row>
    <row r="63" spans="2:25" ht="21.6" customHeight="1" thickBot="1">
      <c r="B63" s="176" t="s">
        <v>39</v>
      </c>
      <c r="C63" s="177"/>
      <c r="D63" s="177"/>
      <c r="E63" s="177"/>
      <c r="F63" s="177"/>
      <c r="G63" s="177"/>
      <c r="H63" s="177"/>
      <c r="I63" s="177"/>
      <c r="J63" s="177"/>
      <c r="K63" s="177"/>
      <c r="L63" s="177"/>
      <c r="M63" s="177"/>
      <c r="N63" s="177"/>
      <c r="O63" s="177"/>
      <c r="P63" s="177"/>
      <c r="Q63" s="177"/>
      <c r="R63" s="177"/>
      <c r="S63" s="177"/>
      <c r="T63" s="177"/>
      <c r="U63" s="177"/>
      <c r="V63" s="177"/>
      <c r="W63" s="17"/>
      <c r="X63" s="17"/>
      <c r="Y63" s="5"/>
    </row>
    <row r="64" spans="2:25" ht="57.75" customHeight="1" thickBot="1">
      <c r="B64" s="63" t="s">
        <v>22</v>
      </c>
      <c r="C64" s="63" t="s">
        <v>23</v>
      </c>
      <c r="D64" s="63" t="s">
        <v>40</v>
      </c>
      <c r="E64" s="63">
        <v>1</v>
      </c>
      <c r="F64" s="63" t="s">
        <v>25</v>
      </c>
      <c r="G64" s="65" t="s">
        <v>41</v>
      </c>
      <c r="H64" s="66" t="s">
        <v>42</v>
      </c>
      <c r="I64" s="67" t="s">
        <v>28</v>
      </c>
      <c r="J64" s="67" t="s">
        <v>28</v>
      </c>
      <c r="K64" s="67" t="s">
        <v>28</v>
      </c>
      <c r="L64" s="67" t="s">
        <v>28</v>
      </c>
      <c r="M64" s="67" t="s">
        <v>28</v>
      </c>
      <c r="N64" s="67" t="s">
        <v>28</v>
      </c>
      <c r="O64" s="67" t="s">
        <v>28</v>
      </c>
      <c r="P64" s="67" t="s">
        <v>28</v>
      </c>
      <c r="Q64" s="70">
        <v>2.67</v>
      </c>
      <c r="R64" s="70">
        <v>13.32</v>
      </c>
      <c r="S64" s="70">
        <f aca="true" t="shared" si="58" ref="S64">Q64*30</f>
        <v>80.1</v>
      </c>
      <c r="T64" s="70">
        <f aca="true" t="shared" si="59" ref="T64">R64*30</f>
        <v>399.6</v>
      </c>
      <c r="U64" s="70">
        <f aca="true" t="shared" si="60" ref="U64:U70">Q64*365</f>
        <v>974.55</v>
      </c>
      <c r="V64" s="72">
        <f aca="true" t="shared" si="61" ref="V64:V70">R64*365</f>
        <v>4861.8</v>
      </c>
      <c r="W64" s="72">
        <f>U64</f>
        <v>974.55</v>
      </c>
      <c r="X64" s="72">
        <f>V64*0.82</f>
        <v>3986.676</v>
      </c>
      <c r="Y64" s="5" t="s">
        <v>114</v>
      </c>
    </row>
    <row r="65" spans="2:25" ht="57.75" customHeight="1" thickBot="1">
      <c r="B65" s="63" t="s">
        <v>22</v>
      </c>
      <c r="C65" s="63" t="s">
        <v>23</v>
      </c>
      <c r="D65" s="63" t="s">
        <v>43</v>
      </c>
      <c r="E65" s="63">
        <v>1</v>
      </c>
      <c r="F65" s="63" t="s">
        <v>25</v>
      </c>
      <c r="G65" s="65" t="s">
        <v>44</v>
      </c>
      <c r="H65" s="66" t="s">
        <v>42</v>
      </c>
      <c r="I65" s="67" t="s">
        <v>28</v>
      </c>
      <c r="J65" s="67" t="s">
        <v>28</v>
      </c>
      <c r="K65" s="67" t="s">
        <v>28</v>
      </c>
      <c r="L65" s="67">
        <v>10</v>
      </c>
      <c r="M65" s="67">
        <v>24</v>
      </c>
      <c r="N65" s="67">
        <v>30</v>
      </c>
      <c r="O65" s="67">
        <v>2</v>
      </c>
      <c r="P65" s="67">
        <v>50</v>
      </c>
      <c r="Q65" s="70">
        <f>L65*O65*M65*0.0036</f>
        <v>1.728</v>
      </c>
      <c r="R65" s="70">
        <f>L65*P65*M65*0.0036</f>
        <v>43.199999999999996</v>
      </c>
      <c r="S65" s="70">
        <f aca="true" t="shared" si="62" ref="S65:S70">Q65*30</f>
        <v>51.839999999999996</v>
      </c>
      <c r="T65" s="70">
        <f aca="true" t="shared" si="63" ref="T65:T70">R65*30</f>
        <v>1295.9999999999998</v>
      </c>
      <c r="U65" s="70">
        <f t="shared" si="60"/>
        <v>630.72</v>
      </c>
      <c r="V65" s="72">
        <f t="shared" si="61"/>
        <v>15767.999999999998</v>
      </c>
      <c r="W65" s="72">
        <f>U65</f>
        <v>630.72</v>
      </c>
      <c r="X65" s="72">
        <f>V65</f>
        <v>15767.999999999998</v>
      </c>
      <c r="Y65" s="5" t="s">
        <v>45</v>
      </c>
    </row>
    <row r="66" spans="2:25" ht="57.75" customHeight="1" thickBot="1">
      <c r="B66" s="63" t="s">
        <v>22</v>
      </c>
      <c r="C66" s="63" t="s">
        <v>23</v>
      </c>
      <c r="D66" s="63" t="s">
        <v>40</v>
      </c>
      <c r="E66" s="63">
        <v>1</v>
      </c>
      <c r="F66" s="63" t="s">
        <v>25</v>
      </c>
      <c r="G66" s="65" t="s">
        <v>46</v>
      </c>
      <c r="H66" s="66" t="s">
        <v>42</v>
      </c>
      <c r="I66" s="67" t="s">
        <v>28</v>
      </c>
      <c r="J66" s="67" t="s">
        <v>28</v>
      </c>
      <c r="K66" s="67" t="s">
        <v>28</v>
      </c>
      <c r="L66" s="67">
        <v>20</v>
      </c>
      <c r="M66" s="67">
        <v>24</v>
      </c>
      <c r="N66" s="67">
        <v>30</v>
      </c>
      <c r="O66" s="67">
        <v>2</v>
      </c>
      <c r="P66" s="67">
        <v>50</v>
      </c>
      <c r="Q66" s="70">
        <f>L66*O66*M66*0.0036</f>
        <v>3.456</v>
      </c>
      <c r="R66" s="70">
        <f>L66*P66*M66*0.0036</f>
        <v>86.39999999999999</v>
      </c>
      <c r="S66" s="70">
        <f t="shared" si="62"/>
        <v>103.67999999999999</v>
      </c>
      <c r="T66" s="70">
        <f t="shared" si="63"/>
        <v>2591.9999999999995</v>
      </c>
      <c r="U66" s="70">
        <f t="shared" si="60"/>
        <v>1261.44</v>
      </c>
      <c r="V66" s="72">
        <f t="shared" si="61"/>
        <v>31535.999999999996</v>
      </c>
      <c r="W66" s="72">
        <f>U66</f>
        <v>1261.44</v>
      </c>
      <c r="X66" s="72">
        <f>V66</f>
        <v>31535.999999999996</v>
      </c>
      <c r="Y66" s="5" t="s">
        <v>45</v>
      </c>
    </row>
    <row r="67" spans="2:25" ht="57.75" customHeight="1" thickBot="1">
      <c r="B67" s="63" t="s">
        <v>22</v>
      </c>
      <c r="C67" s="63" t="s">
        <v>23</v>
      </c>
      <c r="D67" s="63" t="s">
        <v>40</v>
      </c>
      <c r="E67" s="63">
        <v>1</v>
      </c>
      <c r="F67" s="63" t="s">
        <v>25</v>
      </c>
      <c r="G67" s="65" t="s">
        <v>47</v>
      </c>
      <c r="H67" s="66" t="s">
        <v>42</v>
      </c>
      <c r="I67" s="67" t="s">
        <v>28</v>
      </c>
      <c r="J67" s="67" t="s">
        <v>28</v>
      </c>
      <c r="K67" s="67" t="s">
        <v>28</v>
      </c>
      <c r="L67" s="67" t="s">
        <v>28</v>
      </c>
      <c r="M67" s="67" t="s">
        <v>28</v>
      </c>
      <c r="N67" s="67" t="s">
        <v>28</v>
      </c>
      <c r="O67" s="67" t="s">
        <v>28</v>
      </c>
      <c r="P67" s="67" t="s">
        <v>28</v>
      </c>
      <c r="Q67" s="70">
        <v>7.52</v>
      </c>
      <c r="R67" s="70">
        <v>11.1</v>
      </c>
      <c r="S67" s="70">
        <f t="shared" si="62"/>
        <v>225.6</v>
      </c>
      <c r="T67" s="70">
        <f>R67*30</f>
        <v>333</v>
      </c>
      <c r="U67" s="70">
        <f t="shared" si="60"/>
        <v>2744.7999999999997</v>
      </c>
      <c r="V67" s="72">
        <f t="shared" si="61"/>
        <v>4051.5</v>
      </c>
      <c r="W67" s="72">
        <f>U67*0.7</f>
        <v>1921.3599999999997</v>
      </c>
      <c r="X67" s="72">
        <f>V67*0.69</f>
        <v>2795.535</v>
      </c>
      <c r="Y67" s="5" t="s">
        <v>109</v>
      </c>
    </row>
    <row r="68" spans="2:25" ht="57.75" customHeight="1" thickBot="1">
      <c r="B68" s="63" t="s">
        <v>22</v>
      </c>
      <c r="C68" s="63" t="s">
        <v>23</v>
      </c>
      <c r="D68" s="63" t="s">
        <v>49</v>
      </c>
      <c r="E68" s="63">
        <v>1</v>
      </c>
      <c r="F68" s="63" t="s">
        <v>25</v>
      </c>
      <c r="G68" s="65" t="s">
        <v>50</v>
      </c>
      <c r="H68" s="66" t="s">
        <v>42</v>
      </c>
      <c r="I68" s="67" t="s">
        <v>28</v>
      </c>
      <c r="J68" s="67" t="s">
        <v>28</v>
      </c>
      <c r="K68" s="67" t="s">
        <v>28</v>
      </c>
      <c r="L68" s="67">
        <v>1</v>
      </c>
      <c r="M68" s="67">
        <v>24</v>
      </c>
      <c r="N68" s="67">
        <v>30</v>
      </c>
      <c r="O68" s="67">
        <v>50</v>
      </c>
      <c r="P68" s="67">
        <v>50</v>
      </c>
      <c r="Q68" s="73">
        <f>L68*O68*0.0036*M68</f>
        <v>4.32</v>
      </c>
      <c r="R68" s="73">
        <f>L68*P68*0.0036*M68</f>
        <v>4.32</v>
      </c>
      <c r="S68" s="73">
        <f>Q68*30</f>
        <v>129.60000000000002</v>
      </c>
      <c r="T68" s="70">
        <f>R68*30</f>
        <v>129.60000000000002</v>
      </c>
      <c r="U68" s="70">
        <f>Q68*365</f>
        <v>1576.8000000000002</v>
      </c>
      <c r="V68" s="72">
        <f>R68*365</f>
        <v>1576.8000000000002</v>
      </c>
      <c r="W68" s="72">
        <f>U68</f>
        <v>1576.8000000000002</v>
      </c>
      <c r="X68" s="72">
        <f>V68</f>
        <v>1576.8000000000002</v>
      </c>
      <c r="Y68" s="5" t="s">
        <v>111</v>
      </c>
    </row>
    <row r="69" spans="2:25" ht="57.75" customHeight="1" thickBot="1">
      <c r="B69" s="41" t="s">
        <v>22</v>
      </c>
      <c r="C69" s="41" t="s">
        <v>23</v>
      </c>
      <c r="D69" s="41" t="s">
        <v>166</v>
      </c>
      <c r="E69" s="41">
        <v>1</v>
      </c>
      <c r="F69" s="41" t="s">
        <v>25</v>
      </c>
      <c r="G69" s="43" t="s">
        <v>167</v>
      </c>
      <c r="H69" s="44" t="s">
        <v>42</v>
      </c>
      <c r="I69" s="45" t="s">
        <v>28</v>
      </c>
      <c r="J69" s="45" t="s">
        <v>28</v>
      </c>
      <c r="K69" s="45" t="s">
        <v>28</v>
      </c>
      <c r="L69" s="161">
        <v>3.031</v>
      </c>
      <c r="M69" s="45">
        <v>8</v>
      </c>
      <c r="N69" s="45">
        <v>30</v>
      </c>
      <c r="O69" s="45">
        <v>50</v>
      </c>
      <c r="P69" s="45">
        <v>50</v>
      </c>
      <c r="Q69" s="48">
        <f>O69*L69*M69*0.0036</f>
        <v>4.3646400000000005</v>
      </c>
      <c r="R69" s="48">
        <f>P69*L69*M69*0.0036</f>
        <v>4.3646400000000005</v>
      </c>
      <c r="S69" s="48">
        <f aca="true" t="shared" si="64" ref="S69">Q69*30</f>
        <v>130.93920000000003</v>
      </c>
      <c r="T69" s="48">
        <f aca="true" t="shared" si="65" ref="T69">R69*30</f>
        <v>130.93920000000003</v>
      </c>
      <c r="U69" s="48">
        <f aca="true" t="shared" si="66" ref="U69">Q69*365</f>
        <v>1593.0936000000002</v>
      </c>
      <c r="V69" s="50">
        <f aca="true" t="shared" si="67" ref="V69">R69*365</f>
        <v>1593.0936000000002</v>
      </c>
      <c r="W69" s="50">
        <f>U69</f>
        <v>1593.0936000000002</v>
      </c>
      <c r="X69" s="50">
        <f>V69</f>
        <v>1593.0936000000002</v>
      </c>
      <c r="Y69" s="21" t="s">
        <v>168</v>
      </c>
    </row>
    <row r="70" spans="2:25" s="20" customFormat="1" ht="57.75" customHeight="1" thickBot="1">
      <c r="B70" s="63" t="s">
        <v>22</v>
      </c>
      <c r="C70" s="63" t="s">
        <v>23</v>
      </c>
      <c r="D70" s="63" t="s">
        <v>52</v>
      </c>
      <c r="E70" s="63">
        <v>1</v>
      </c>
      <c r="F70" s="63" t="s">
        <v>25</v>
      </c>
      <c r="G70" s="65" t="s">
        <v>53</v>
      </c>
      <c r="H70" s="66" t="s">
        <v>42</v>
      </c>
      <c r="I70" s="67" t="s">
        <v>28</v>
      </c>
      <c r="J70" s="67" t="s">
        <v>28</v>
      </c>
      <c r="K70" s="67" t="s">
        <v>28</v>
      </c>
      <c r="L70" s="67">
        <v>0.3</v>
      </c>
      <c r="M70" s="67">
        <v>24</v>
      </c>
      <c r="N70" s="67">
        <v>30</v>
      </c>
      <c r="O70" s="67">
        <v>2</v>
      </c>
      <c r="P70" s="67">
        <v>193</v>
      </c>
      <c r="Q70" s="70">
        <f>L70*O70*M70*0.0036</f>
        <v>0.05183999999999999</v>
      </c>
      <c r="R70" s="70">
        <f>L70*P70*M70*0.0036</f>
        <v>5.00256</v>
      </c>
      <c r="S70" s="70">
        <f t="shared" si="62"/>
        <v>1.5551999999999997</v>
      </c>
      <c r="T70" s="70">
        <f t="shared" si="63"/>
        <v>150.0768</v>
      </c>
      <c r="U70" s="70">
        <f t="shared" si="60"/>
        <v>18.921599999999998</v>
      </c>
      <c r="V70" s="72">
        <f t="shared" si="61"/>
        <v>1825.9343999999999</v>
      </c>
      <c r="W70" s="72">
        <f>U70</f>
        <v>18.921599999999998</v>
      </c>
      <c r="X70" s="72">
        <f>V70*0.26</f>
        <v>474.74294399999997</v>
      </c>
      <c r="Y70" s="21" t="s">
        <v>110</v>
      </c>
    </row>
    <row r="71" spans="1:25" ht="26.45" customHeight="1" thickBot="1">
      <c r="A71"/>
      <c r="B71" s="178" t="s">
        <v>100</v>
      </c>
      <c r="C71" s="179"/>
      <c r="D71" s="179"/>
      <c r="E71" s="179"/>
      <c r="F71" s="179"/>
      <c r="G71" s="179"/>
      <c r="H71" s="179"/>
      <c r="I71" s="179"/>
      <c r="J71" s="179"/>
      <c r="K71" s="179"/>
      <c r="L71" s="179"/>
      <c r="M71" s="179"/>
      <c r="N71" s="179"/>
      <c r="O71" s="179"/>
      <c r="P71" s="179"/>
      <c r="Q71" s="179"/>
      <c r="R71" s="179"/>
      <c r="S71" s="179"/>
      <c r="T71" s="180"/>
      <c r="U71" s="16">
        <f>SUM(U58:U70)</f>
        <v>224570.07519999996</v>
      </c>
      <c r="V71" s="16">
        <f>SUM(V58:V70)</f>
        <v>276982.878</v>
      </c>
      <c r="W71" s="16">
        <f>SUM(W58:W70)</f>
        <v>77630.34620000003</v>
      </c>
      <c r="X71" s="16">
        <f aca="true" t="shared" si="68" ref="X71">SUM(X58:X70)</f>
        <v>127575.42254400003</v>
      </c>
      <c r="Y71" s="5"/>
    </row>
    <row r="72" s="169" customFormat="1" ht="26.45" customHeight="1" thickBot="1"/>
    <row r="73" spans="2:25" ht="23.45" customHeight="1" thickBot="1">
      <c r="B73" s="181" t="s">
        <v>101</v>
      </c>
      <c r="C73" s="182"/>
      <c r="D73" s="182"/>
      <c r="E73" s="182"/>
      <c r="F73" s="182"/>
      <c r="G73" s="182"/>
      <c r="H73" s="182"/>
      <c r="I73" s="182"/>
      <c r="J73" s="182"/>
      <c r="K73" s="182"/>
      <c r="L73" s="182"/>
      <c r="M73" s="182"/>
      <c r="N73" s="182"/>
      <c r="O73" s="182"/>
      <c r="P73" s="182"/>
      <c r="Q73" s="182"/>
      <c r="R73" s="182"/>
      <c r="S73" s="182"/>
      <c r="T73" s="182"/>
      <c r="U73" s="182"/>
      <c r="V73" s="182"/>
      <c r="W73" s="182"/>
      <c r="X73" s="183"/>
      <c r="Y73" s="5"/>
    </row>
    <row r="74" spans="2:25" ht="57.75" customHeight="1" thickBot="1">
      <c r="B74" s="74" t="s">
        <v>22</v>
      </c>
      <c r="C74" s="74" t="s">
        <v>23</v>
      </c>
      <c r="D74" s="75" t="s">
        <v>24</v>
      </c>
      <c r="E74" s="74">
        <v>1</v>
      </c>
      <c r="F74" s="74" t="s">
        <v>25</v>
      </c>
      <c r="G74" s="76" t="s">
        <v>26</v>
      </c>
      <c r="H74" s="77" t="s">
        <v>27</v>
      </c>
      <c r="I74" s="78">
        <v>1429</v>
      </c>
      <c r="J74" s="79">
        <v>0.05</v>
      </c>
      <c r="K74" s="80">
        <v>0.05</v>
      </c>
      <c r="L74" s="79" t="s">
        <v>28</v>
      </c>
      <c r="M74" s="79" t="s">
        <v>28</v>
      </c>
      <c r="N74" s="79" t="s">
        <v>28</v>
      </c>
      <c r="O74" s="79" t="s">
        <v>28</v>
      </c>
      <c r="P74" s="79" t="s">
        <v>28</v>
      </c>
      <c r="Q74" s="81">
        <f>I74*J74</f>
        <v>71.45</v>
      </c>
      <c r="R74" s="81">
        <f>I74*K74</f>
        <v>71.45</v>
      </c>
      <c r="S74" s="82">
        <f>Q74*30</f>
        <v>2143.5</v>
      </c>
      <c r="T74" s="82">
        <f>R74*30</f>
        <v>2143.5</v>
      </c>
      <c r="U74" s="81">
        <f>Q74*365</f>
        <v>26079.25</v>
      </c>
      <c r="V74" s="83">
        <f>R74*365</f>
        <v>26079.25</v>
      </c>
      <c r="W74" s="83">
        <f>U74*0.2</f>
        <v>5215.85</v>
      </c>
      <c r="X74" s="83">
        <f>V74*0.2</f>
        <v>5215.85</v>
      </c>
      <c r="Y74" s="5" t="s">
        <v>117</v>
      </c>
    </row>
    <row r="75" spans="2:25" ht="57.75" customHeight="1" thickBot="1">
      <c r="B75" s="74" t="s">
        <v>22</v>
      </c>
      <c r="C75" s="74" t="s">
        <v>23</v>
      </c>
      <c r="D75" s="75" t="s">
        <v>30</v>
      </c>
      <c r="E75" s="74">
        <v>1</v>
      </c>
      <c r="F75" s="74" t="s">
        <v>31</v>
      </c>
      <c r="G75" s="76" t="s">
        <v>32</v>
      </c>
      <c r="H75" s="77" t="s">
        <v>27</v>
      </c>
      <c r="I75" s="78">
        <v>472</v>
      </c>
      <c r="J75" s="79">
        <v>0.05</v>
      </c>
      <c r="K75" s="80">
        <v>0.05</v>
      </c>
      <c r="L75" s="79" t="s">
        <v>28</v>
      </c>
      <c r="M75" s="79" t="s">
        <v>28</v>
      </c>
      <c r="N75" s="79" t="s">
        <v>28</v>
      </c>
      <c r="O75" s="79" t="s">
        <v>28</v>
      </c>
      <c r="P75" s="79" t="s">
        <v>28</v>
      </c>
      <c r="Q75" s="81">
        <f>I75*J75</f>
        <v>23.6</v>
      </c>
      <c r="R75" s="81">
        <f>I75*K75</f>
        <v>23.6</v>
      </c>
      <c r="S75" s="82">
        <f aca="true" t="shared" si="69" ref="S75:S78">Q75*30</f>
        <v>708</v>
      </c>
      <c r="T75" s="82">
        <f aca="true" t="shared" si="70" ref="T75:T76">R75*30</f>
        <v>708</v>
      </c>
      <c r="U75" s="81">
        <f>Q75*365</f>
        <v>8614</v>
      </c>
      <c r="V75" s="83">
        <f aca="true" t="shared" si="71" ref="V75:V78">R75*365</f>
        <v>8614</v>
      </c>
      <c r="W75" s="83">
        <f>U75*0.128</f>
        <v>1102.592</v>
      </c>
      <c r="X75" s="83">
        <f>V75*0.15</f>
        <v>1292.1</v>
      </c>
      <c r="Y75" s="5" t="s">
        <v>160</v>
      </c>
    </row>
    <row r="76" spans="2:25" ht="57.75" customHeight="1" thickBot="1">
      <c r="B76" s="74" t="s">
        <v>22</v>
      </c>
      <c r="C76" s="74" t="s">
        <v>23</v>
      </c>
      <c r="D76" s="75" t="s">
        <v>33</v>
      </c>
      <c r="E76" s="74">
        <v>1</v>
      </c>
      <c r="F76" s="74" t="s">
        <v>31</v>
      </c>
      <c r="G76" s="76" t="s">
        <v>34</v>
      </c>
      <c r="H76" s="77" t="s">
        <v>27</v>
      </c>
      <c r="I76" s="78">
        <v>882</v>
      </c>
      <c r="J76" s="79">
        <v>0.05</v>
      </c>
      <c r="K76" s="80">
        <v>0.05</v>
      </c>
      <c r="L76" s="79" t="s">
        <v>28</v>
      </c>
      <c r="M76" s="79" t="s">
        <v>28</v>
      </c>
      <c r="N76" s="79" t="s">
        <v>28</v>
      </c>
      <c r="O76" s="79" t="s">
        <v>28</v>
      </c>
      <c r="P76" s="79" t="s">
        <v>28</v>
      </c>
      <c r="Q76" s="81">
        <f>I76*J76</f>
        <v>44.1</v>
      </c>
      <c r="R76" s="81">
        <f>I76*K76</f>
        <v>44.1</v>
      </c>
      <c r="S76" s="82">
        <f t="shared" si="69"/>
        <v>1323</v>
      </c>
      <c r="T76" s="82">
        <f t="shared" si="70"/>
        <v>1323</v>
      </c>
      <c r="U76" s="81">
        <f aca="true" t="shared" si="72" ref="U76:U78">Q76*365</f>
        <v>16096.5</v>
      </c>
      <c r="V76" s="83">
        <f t="shared" si="71"/>
        <v>16096.5</v>
      </c>
      <c r="W76" s="72">
        <f>U76*0.2</f>
        <v>3219.3</v>
      </c>
      <c r="X76" s="72">
        <f>V76*0.2</f>
        <v>3219.3</v>
      </c>
      <c r="Y76" s="5" t="s">
        <v>169</v>
      </c>
    </row>
    <row r="77" spans="2:25" ht="57.75" customHeight="1" thickBot="1">
      <c r="B77" s="74" t="s">
        <v>22</v>
      </c>
      <c r="C77" s="74" t="s">
        <v>23</v>
      </c>
      <c r="D77" s="75" t="s">
        <v>35</v>
      </c>
      <c r="E77" s="74">
        <v>1</v>
      </c>
      <c r="F77" s="74" t="s">
        <v>31</v>
      </c>
      <c r="G77" s="76" t="s">
        <v>36</v>
      </c>
      <c r="H77" s="77" t="s">
        <v>27</v>
      </c>
      <c r="I77" s="78">
        <v>6779</v>
      </c>
      <c r="J77" s="79">
        <v>0.05</v>
      </c>
      <c r="K77" s="80">
        <v>0.05</v>
      </c>
      <c r="L77" s="79" t="s">
        <v>28</v>
      </c>
      <c r="M77" s="79" t="s">
        <v>28</v>
      </c>
      <c r="N77" s="79" t="s">
        <v>28</v>
      </c>
      <c r="O77" s="79" t="s">
        <v>28</v>
      </c>
      <c r="P77" s="79" t="s">
        <v>28</v>
      </c>
      <c r="Q77" s="81">
        <f>I77*J77</f>
        <v>338.95000000000005</v>
      </c>
      <c r="R77" s="81">
        <f>I77*K77</f>
        <v>338.95000000000005</v>
      </c>
      <c r="S77" s="82">
        <f t="shared" si="69"/>
        <v>10168.500000000002</v>
      </c>
      <c r="T77" s="82">
        <f>R77*30</f>
        <v>10168.500000000002</v>
      </c>
      <c r="U77" s="81">
        <f t="shared" si="72"/>
        <v>123716.75000000001</v>
      </c>
      <c r="V77" s="83">
        <f t="shared" si="71"/>
        <v>123716.75000000001</v>
      </c>
      <c r="W77" s="83">
        <f>U77*0.14</f>
        <v>17320.345000000005</v>
      </c>
      <c r="X77" s="83">
        <f>V77*0.14</f>
        <v>17320.345000000005</v>
      </c>
      <c r="Y77" s="5" t="s">
        <v>161</v>
      </c>
    </row>
    <row r="78" spans="2:25" ht="57.75" customHeight="1" thickBot="1">
      <c r="B78" s="74" t="s">
        <v>22</v>
      </c>
      <c r="C78" s="74" t="s">
        <v>23</v>
      </c>
      <c r="D78" s="75" t="s">
        <v>37</v>
      </c>
      <c r="E78" s="74">
        <v>1</v>
      </c>
      <c r="F78" s="74" t="s">
        <v>31</v>
      </c>
      <c r="G78" s="76" t="s">
        <v>38</v>
      </c>
      <c r="H78" s="77" t="s">
        <v>27</v>
      </c>
      <c r="I78" s="78">
        <v>2368</v>
      </c>
      <c r="J78" s="79">
        <v>0.05</v>
      </c>
      <c r="K78" s="80">
        <v>0.05</v>
      </c>
      <c r="L78" s="79" t="s">
        <v>28</v>
      </c>
      <c r="M78" s="79" t="s">
        <v>28</v>
      </c>
      <c r="N78" s="79" t="s">
        <v>28</v>
      </c>
      <c r="O78" s="79" t="s">
        <v>28</v>
      </c>
      <c r="P78" s="79" t="s">
        <v>28</v>
      </c>
      <c r="Q78" s="81">
        <f>I78*J78</f>
        <v>118.4</v>
      </c>
      <c r="R78" s="81">
        <f>I78*K78</f>
        <v>118.4</v>
      </c>
      <c r="S78" s="82">
        <f t="shared" si="69"/>
        <v>3552</v>
      </c>
      <c r="T78" s="82">
        <f aca="true" t="shared" si="73" ref="T78">R78*30</f>
        <v>3552</v>
      </c>
      <c r="U78" s="81">
        <f t="shared" si="72"/>
        <v>43216</v>
      </c>
      <c r="V78" s="83">
        <f t="shared" si="71"/>
        <v>43216</v>
      </c>
      <c r="W78" s="83">
        <f>U78*0.7</f>
        <v>30251.199999999997</v>
      </c>
      <c r="X78" s="83">
        <f>V78*0.7</f>
        <v>30251.199999999997</v>
      </c>
      <c r="Y78" s="5" t="s">
        <v>108</v>
      </c>
    </row>
    <row r="79" spans="2:25" ht="21.6" customHeight="1" thickBot="1">
      <c r="B79" s="181" t="s">
        <v>39</v>
      </c>
      <c r="C79" s="182"/>
      <c r="D79" s="182"/>
      <c r="E79" s="182"/>
      <c r="F79" s="182"/>
      <c r="G79" s="182"/>
      <c r="H79" s="182"/>
      <c r="I79" s="182"/>
      <c r="J79" s="182"/>
      <c r="K79" s="182"/>
      <c r="L79" s="182"/>
      <c r="M79" s="182"/>
      <c r="N79" s="182"/>
      <c r="O79" s="182"/>
      <c r="P79" s="182"/>
      <c r="Q79" s="182"/>
      <c r="R79" s="182"/>
      <c r="S79" s="182"/>
      <c r="T79" s="182"/>
      <c r="U79" s="182"/>
      <c r="V79" s="182"/>
      <c r="W79" s="19"/>
      <c r="X79" s="19"/>
      <c r="Y79" s="5"/>
    </row>
    <row r="80" spans="2:25" ht="57.75" customHeight="1" thickBot="1">
      <c r="B80" s="74" t="s">
        <v>22</v>
      </c>
      <c r="C80" s="74" t="s">
        <v>23</v>
      </c>
      <c r="D80" s="74" t="s">
        <v>40</v>
      </c>
      <c r="E80" s="74">
        <v>1</v>
      </c>
      <c r="F80" s="74" t="s">
        <v>25</v>
      </c>
      <c r="G80" s="76" t="s">
        <v>41</v>
      </c>
      <c r="H80" s="77" t="s">
        <v>42</v>
      </c>
      <c r="I80" s="78" t="s">
        <v>28</v>
      </c>
      <c r="J80" s="78" t="s">
        <v>28</v>
      </c>
      <c r="K80" s="78" t="s">
        <v>28</v>
      </c>
      <c r="L80" s="78" t="s">
        <v>28</v>
      </c>
      <c r="M80" s="78" t="s">
        <v>28</v>
      </c>
      <c r="N80" s="78" t="s">
        <v>28</v>
      </c>
      <c r="O80" s="78" t="s">
        <v>28</v>
      </c>
      <c r="P80" s="78" t="s">
        <v>28</v>
      </c>
      <c r="Q80" s="81">
        <v>2.67</v>
      </c>
      <c r="R80" s="81">
        <v>13.32</v>
      </c>
      <c r="S80" s="81">
        <f aca="true" t="shared" si="74" ref="S80">Q80*30</f>
        <v>80.1</v>
      </c>
      <c r="T80" s="81">
        <f aca="true" t="shared" si="75" ref="T80">R80*30</f>
        <v>399.6</v>
      </c>
      <c r="U80" s="81">
        <f aca="true" t="shared" si="76" ref="U80:U86">Q80*365</f>
        <v>974.55</v>
      </c>
      <c r="V80" s="83">
        <f aca="true" t="shared" si="77" ref="V80:V86">R80*365</f>
        <v>4861.8</v>
      </c>
      <c r="W80" s="83">
        <f>U80</f>
        <v>974.55</v>
      </c>
      <c r="X80" s="83">
        <f>V80*0.82</f>
        <v>3986.676</v>
      </c>
      <c r="Y80" s="5" t="s">
        <v>114</v>
      </c>
    </row>
    <row r="81" spans="2:25" ht="57.75" customHeight="1" thickBot="1">
      <c r="B81" s="74" t="s">
        <v>22</v>
      </c>
      <c r="C81" s="74" t="s">
        <v>23</v>
      </c>
      <c r="D81" s="74" t="s">
        <v>43</v>
      </c>
      <c r="E81" s="74">
        <v>1</v>
      </c>
      <c r="F81" s="74" t="s">
        <v>25</v>
      </c>
      <c r="G81" s="76" t="s">
        <v>44</v>
      </c>
      <c r="H81" s="77" t="s">
        <v>42</v>
      </c>
      <c r="I81" s="78" t="s">
        <v>28</v>
      </c>
      <c r="J81" s="78" t="s">
        <v>28</v>
      </c>
      <c r="K81" s="78" t="s">
        <v>28</v>
      </c>
      <c r="L81" s="78">
        <v>10</v>
      </c>
      <c r="M81" s="78">
        <v>24</v>
      </c>
      <c r="N81" s="78">
        <v>30</v>
      </c>
      <c r="O81" s="78">
        <v>2</v>
      </c>
      <c r="P81" s="78">
        <v>50</v>
      </c>
      <c r="Q81" s="81">
        <f>L81*O81*M81*0.0036</f>
        <v>1.728</v>
      </c>
      <c r="R81" s="81">
        <f>L81*P81*M81*0.0036</f>
        <v>43.199999999999996</v>
      </c>
      <c r="S81" s="81">
        <f aca="true" t="shared" si="78" ref="S81:S86">Q81*30</f>
        <v>51.839999999999996</v>
      </c>
      <c r="T81" s="81">
        <f aca="true" t="shared" si="79" ref="T81:T86">R81*30</f>
        <v>1295.9999999999998</v>
      </c>
      <c r="U81" s="81">
        <f t="shared" si="76"/>
        <v>630.72</v>
      </c>
      <c r="V81" s="83">
        <f t="shared" si="77"/>
        <v>15767.999999999998</v>
      </c>
      <c r="W81" s="83">
        <f>U81</f>
        <v>630.72</v>
      </c>
      <c r="X81" s="83">
        <f>V81</f>
        <v>15767.999999999998</v>
      </c>
      <c r="Y81" s="5" t="s">
        <v>45</v>
      </c>
    </row>
    <row r="82" spans="2:25" ht="57.75" customHeight="1" thickBot="1">
      <c r="B82" s="74" t="s">
        <v>22</v>
      </c>
      <c r="C82" s="74" t="s">
        <v>23</v>
      </c>
      <c r="D82" s="74" t="s">
        <v>40</v>
      </c>
      <c r="E82" s="74">
        <v>1</v>
      </c>
      <c r="F82" s="74" t="s">
        <v>25</v>
      </c>
      <c r="G82" s="76" t="s">
        <v>46</v>
      </c>
      <c r="H82" s="77" t="s">
        <v>42</v>
      </c>
      <c r="I82" s="78" t="s">
        <v>28</v>
      </c>
      <c r="J82" s="78" t="s">
        <v>28</v>
      </c>
      <c r="K82" s="78" t="s">
        <v>28</v>
      </c>
      <c r="L82" s="78">
        <v>20</v>
      </c>
      <c r="M82" s="78">
        <v>24</v>
      </c>
      <c r="N82" s="78">
        <v>30</v>
      </c>
      <c r="O82" s="78">
        <v>2</v>
      </c>
      <c r="P82" s="78">
        <v>50</v>
      </c>
      <c r="Q82" s="81">
        <f>L82*O82*M82*0.0036</f>
        <v>3.456</v>
      </c>
      <c r="R82" s="81">
        <f>L82*P82*M82*0.0036</f>
        <v>86.39999999999999</v>
      </c>
      <c r="S82" s="81">
        <f t="shared" si="78"/>
        <v>103.67999999999999</v>
      </c>
      <c r="T82" s="81">
        <f t="shared" si="79"/>
        <v>2591.9999999999995</v>
      </c>
      <c r="U82" s="81">
        <f t="shared" si="76"/>
        <v>1261.44</v>
      </c>
      <c r="V82" s="83">
        <f t="shared" si="77"/>
        <v>31535.999999999996</v>
      </c>
      <c r="W82" s="83">
        <f>U82</f>
        <v>1261.44</v>
      </c>
      <c r="X82" s="83">
        <f>V82</f>
        <v>31535.999999999996</v>
      </c>
      <c r="Y82" s="5" t="s">
        <v>45</v>
      </c>
    </row>
    <row r="83" spans="2:25" ht="57.75" customHeight="1" thickBot="1">
      <c r="B83" s="74" t="s">
        <v>22</v>
      </c>
      <c r="C83" s="74" t="s">
        <v>23</v>
      </c>
      <c r="D83" s="74" t="s">
        <v>40</v>
      </c>
      <c r="E83" s="74">
        <v>1</v>
      </c>
      <c r="F83" s="74" t="s">
        <v>25</v>
      </c>
      <c r="G83" s="76" t="s">
        <v>47</v>
      </c>
      <c r="H83" s="77" t="s">
        <v>42</v>
      </c>
      <c r="I83" s="78" t="s">
        <v>28</v>
      </c>
      <c r="J83" s="78" t="s">
        <v>28</v>
      </c>
      <c r="K83" s="78" t="s">
        <v>28</v>
      </c>
      <c r="L83" s="78" t="s">
        <v>28</v>
      </c>
      <c r="M83" s="78" t="s">
        <v>28</v>
      </c>
      <c r="N83" s="78" t="s">
        <v>28</v>
      </c>
      <c r="O83" s="78" t="s">
        <v>28</v>
      </c>
      <c r="P83" s="78" t="s">
        <v>28</v>
      </c>
      <c r="Q83" s="81">
        <v>7.52</v>
      </c>
      <c r="R83" s="81">
        <v>11.1</v>
      </c>
      <c r="S83" s="81">
        <f t="shared" si="78"/>
        <v>225.6</v>
      </c>
      <c r="T83" s="81">
        <f t="shared" si="79"/>
        <v>333</v>
      </c>
      <c r="U83" s="81">
        <f t="shared" si="76"/>
        <v>2744.7999999999997</v>
      </c>
      <c r="V83" s="83">
        <f t="shared" si="77"/>
        <v>4051.5</v>
      </c>
      <c r="W83" s="83">
        <f>U83*0.7</f>
        <v>1921.3599999999997</v>
      </c>
      <c r="X83" s="83">
        <f>V83*0.69</f>
        <v>2795.535</v>
      </c>
      <c r="Y83" s="5" t="s">
        <v>109</v>
      </c>
    </row>
    <row r="84" spans="2:25" ht="57.75" customHeight="1" thickBot="1">
      <c r="B84" s="74" t="s">
        <v>22</v>
      </c>
      <c r="C84" s="74" t="s">
        <v>23</v>
      </c>
      <c r="D84" s="74" t="s">
        <v>49</v>
      </c>
      <c r="E84" s="74">
        <v>1</v>
      </c>
      <c r="F84" s="74" t="s">
        <v>25</v>
      </c>
      <c r="G84" s="76" t="s">
        <v>50</v>
      </c>
      <c r="H84" s="77" t="s">
        <v>42</v>
      </c>
      <c r="I84" s="78" t="s">
        <v>28</v>
      </c>
      <c r="J84" s="78" t="s">
        <v>28</v>
      </c>
      <c r="K84" s="78" t="s">
        <v>28</v>
      </c>
      <c r="L84" s="78">
        <v>1</v>
      </c>
      <c r="M84" s="78">
        <v>24</v>
      </c>
      <c r="N84" s="78">
        <v>30</v>
      </c>
      <c r="O84" s="78">
        <v>50</v>
      </c>
      <c r="P84" s="78">
        <v>50</v>
      </c>
      <c r="Q84" s="84">
        <f>L84*O84*0.0036*M84</f>
        <v>4.32</v>
      </c>
      <c r="R84" s="84">
        <f>L84*P84*0.0036*M84</f>
        <v>4.32</v>
      </c>
      <c r="S84" s="84">
        <f>Q84*30</f>
        <v>129.60000000000002</v>
      </c>
      <c r="T84" s="81">
        <f>R84*30</f>
        <v>129.60000000000002</v>
      </c>
      <c r="U84" s="81">
        <f>Q84*365</f>
        <v>1576.8000000000002</v>
      </c>
      <c r="V84" s="83">
        <f>R84*365</f>
        <v>1576.8000000000002</v>
      </c>
      <c r="W84" s="83">
        <f>U84</f>
        <v>1576.8000000000002</v>
      </c>
      <c r="X84" s="83">
        <f>V84</f>
        <v>1576.8000000000002</v>
      </c>
      <c r="Y84" s="5" t="s">
        <v>111</v>
      </c>
    </row>
    <row r="85" spans="2:25" ht="57.75" customHeight="1" thickBot="1">
      <c r="B85" s="74" t="s">
        <v>22</v>
      </c>
      <c r="C85" s="74" t="s">
        <v>23</v>
      </c>
      <c r="D85" s="74" t="s">
        <v>166</v>
      </c>
      <c r="E85" s="74">
        <v>1</v>
      </c>
      <c r="F85" s="74" t="s">
        <v>25</v>
      </c>
      <c r="G85" s="76" t="s">
        <v>167</v>
      </c>
      <c r="H85" s="77" t="s">
        <v>42</v>
      </c>
      <c r="I85" s="78" t="s">
        <v>28</v>
      </c>
      <c r="J85" s="78" t="s">
        <v>28</v>
      </c>
      <c r="K85" s="78" t="s">
        <v>28</v>
      </c>
      <c r="L85" s="163">
        <v>3.031</v>
      </c>
      <c r="M85" s="78">
        <v>8</v>
      </c>
      <c r="N85" s="78">
        <v>30</v>
      </c>
      <c r="O85" s="78">
        <v>50</v>
      </c>
      <c r="P85" s="78">
        <v>50</v>
      </c>
      <c r="Q85" s="81">
        <f>O85*L85*M85*0.0036</f>
        <v>4.3646400000000005</v>
      </c>
      <c r="R85" s="81">
        <f>P85*L85*M85*0.0036</f>
        <v>4.3646400000000005</v>
      </c>
      <c r="S85" s="81">
        <f aca="true" t="shared" si="80" ref="S85">Q85*30</f>
        <v>130.93920000000003</v>
      </c>
      <c r="T85" s="81">
        <f aca="true" t="shared" si="81" ref="T85">R85*30</f>
        <v>130.93920000000003</v>
      </c>
      <c r="U85" s="81">
        <f aca="true" t="shared" si="82" ref="U85">Q85*365</f>
        <v>1593.0936000000002</v>
      </c>
      <c r="V85" s="83">
        <f aca="true" t="shared" si="83" ref="V85">R85*365</f>
        <v>1593.0936000000002</v>
      </c>
      <c r="W85" s="83">
        <f>U85</f>
        <v>1593.0936000000002</v>
      </c>
      <c r="X85" s="83">
        <f>V85</f>
        <v>1593.0936000000002</v>
      </c>
      <c r="Y85" s="21" t="s">
        <v>168</v>
      </c>
    </row>
    <row r="86" spans="2:25" s="20" customFormat="1" ht="57.75" customHeight="1" thickBot="1">
      <c r="B86" s="74" t="s">
        <v>22</v>
      </c>
      <c r="C86" s="74" t="s">
        <v>23</v>
      </c>
      <c r="D86" s="74" t="s">
        <v>52</v>
      </c>
      <c r="E86" s="74">
        <v>1</v>
      </c>
      <c r="F86" s="74" t="s">
        <v>25</v>
      </c>
      <c r="G86" s="76" t="s">
        <v>53</v>
      </c>
      <c r="H86" s="77" t="s">
        <v>42</v>
      </c>
      <c r="I86" s="78" t="s">
        <v>28</v>
      </c>
      <c r="J86" s="78" t="s">
        <v>28</v>
      </c>
      <c r="K86" s="78" t="s">
        <v>28</v>
      </c>
      <c r="L86" s="78">
        <v>0.3</v>
      </c>
      <c r="M86" s="78">
        <v>24</v>
      </c>
      <c r="N86" s="78">
        <v>30</v>
      </c>
      <c r="O86" s="78">
        <v>2</v>
      </c>
      <c r="P86" s="78">
        <v>193</v>
      </c>
      <c r="Q86" s="81">
        <f>L86*O86*M86*0.0036</f>
        <v>0.05183999999999999</v>
      </c>
      <c r="R86" s="81">
        <f>L86*P86*M86*0.0036</f>
        <v>5.00256</v>
      </c>
      <c r="S86" s="81">
        <f t="shared" si="78"/>
        <v>1.5551999999999997</v>
      </c>
      <c r="T86" s="81">
        <f t="shared" si="79"/>
        <v>150.0768</v>
      </c>
      <c r="U86" s="81">
        <f t="shared" si="76"/>
        <v>18.921599999999998</v>
      </c>
      <c r="V86" s="83">
        <f t="shared" si="77"/>
        <v>1825.9343999999999</v>
      </c>
      <c r="W86" s="83">
        <f>U86</f>
        <v>18.921599999999998</v>
      </c>
      <c r="X86" s="83">
        <f>V86*0.26</f>
        <v>474.74294399999997</v>
      </c>
      <c r="Y86" s="21" t="s">
        <v>110</v>
      </c>
    </row>
    <row r="87" spans="1:25" ht="26.45" customHeight="1" thickBot="1">
      <c r="A87"/>
      <c r="B87" s="166" t="s">
        <v>102</v>
      </c>
      <c r="C87" s="167"/>
      <c r="D87" s="167"/>
      <c r="E87" s="167"/>
      <c r="F87" s="167"/>
      <c r="G87" s="167"/>
      <c r="H87" s="167"/>
      <c r="I87" s="167"/>
      <c r="J87" s="167"/>
      <c r="K87" s="167"/>
      <c r="L87" s="167"/>
      <c r="M87" s="167"/>
      <c r="N87" s="167"/>
      <c r="O87" s="167"/>
      <c r="P87" s="167"/>
      <c r="Q87" s="167"/>
      <c r="R87" s="167"/>
      <c r="S87" s="167"/>
      <c r="T87" s="168"/>
      <c r="U87" s="18">
        <f>SUM(U74:U86)</f>
        <v>226522.82519999996</v>
      </c>
      <c r="V87" s="18">
        <f>SUM(V74:V86)</f>
        <v>278935.628</v>
      </c>
      <c r="W87" s="18">
        <f>SUM(W74:W86)</f>
        <v>65086.172200000015</v>
      </c>
      <c r="X87" s="18">
        <f aca="true" t="shared" si="84" ref="X87">SUM(X74:X86)</f>
        <v>115029.642544</v>
      </c>
      <c r="Y87" s="5"/>
    </row>
    <row r="88" s="169" customFormat="1" ht="26.45" customHeight="1" thickBot="1"/>
    <row r="89" spans="2:25" ht="23.45" customHeight="1" thickBot="1">
      <c r="B89" s="170" t="s">
        <v>103</v>
      </c>
      <c r="C89" s="171"/>
      <c r="D89" s="171"/>
      <c r="E89" s="171"/>
      <c r="F89" s="171"/>
      <c r="G89" s="171"/>
      <c r="H89" s="171"/>
      <c r="I89" s="171"/>
      <c r="J89" s="171"/>
      <c r="K89" s="171"/>
      <c r="L89" s="171"/>
      <c r="M89" s="171"/>
      <c r="N89" s="171"/>
      <c r="O89" s="171"/>
      <c r="P89" s="171"/>
      <c r="Q89" s="171"/>
      <c r="R89" s="171"/>
      <c r="S89" s="171"/>
      <c r="T89" s="171"/>
      <c r="U89" s="171"/>
      <c r="V89" s="171"/>
      <c r="W89" s="171"/>
      <c r="X89" s="172"/>
      <c r="Y89" s="5"/>
    </row>
    <row r="90" spans="2:25" ht="57.75" customHeight="1" thickBot="1">
      <c r="B90" s="85" t="s">
        <v>22</v>
      </c>
      <c r="C90" s="85" t="s">
        <v>23</v>
      </c>
      <c r="D90" s="86" t="s">
        <v>24</v>
      </c>
      <c r="E90" s="85">
        <v>1</v>
      </c>
      <c r="F90" s="85" t="s">
        <v>25</v>
      </c>
      <c r="G90" s="87" t="s">
        <v>26</v>
      </c>
      <c r="H90" s="88" t="s">
        <v>27</v>
      </c>
      <c r="I90" s="89">
        <v>1445</v>
      </c>
      <c r="J90" s="90">
        <v>0.05</v>
      </c>
      <c r="K90" s="91">
        <v>0.05</v>
      </c>
      <c r="L90" s="90" t="s">
        <v>28</v>
      </c>
      <c r="M90" s="90" t="s">
        <v>28</v>
      </c>
      <c r="N90" s="90" t="s">
        <v>28</v>
      </c>
      <c r="O90" s="90" t="s">
        <v>28</v>
      </c>
      <c r="P90" s="90" t="s">
        <v>28</v>
      </c>
      <c r="Q90" s="92">
        <f>I90*J90</f>
        <v>72.25</v>
      </c>
      <c r="R90" s="92">
        <f>I90*K90</f>
        <v>72.25</v>
      </c>
      <c r="S90" s="93">
        <f>Q90*30</f>
        <v>2167.5</v>
      </c>
      <c r="T90" s="93">
        <f>R90*30</f>
        <v>2167.5</v>
      </c>
      <c r="U90" s="92">
        <f>Q90*365</f>
        <v>26371.25</v>
      </c>
      <c r="V90" s="94">
        <f>R90*365</f>
        <v>26371.25</v>
      </c>
      <c r="W90" s="94">
        <f>U90*0.2</f>
        <v>5274.25</v>
      </c>
      <c r="X90" s="94">
        <f>V90*0.2</f>
        <v>5274.25</v>
      </c>
      <c r="Y90" s="5" t="s">
        <v>117</v>
      </c>
    </row>
    <row r="91" spans="2:25" ht="57.75" customHeight="1" thickBot="1">
      <c r="B91" s="85" t="s">
        <v>22</v>
      </c>
      <c r="C91" s="85" t="s">
        <v>23</v>
      </c>
      <c r="D91" s="86" t="s">
        <v>30</v>
      </c>
      <c r="E91" s="85">
        <v>1</v>
      </c>
      <c r="F91" s="85" t="s">
        <v>31</v>
      </c>
      <c r="G91" s="87" t="s">
        <v>32</v>
      </c>
      <c r="H91" s="88" t="s">
        <v>27</v>
      </c>
      <c r="I91" s="89">
        <v>473</v>
      </c>
      <c r="J91" s="90">
        <v>0.05</v>
      </c>
      <c r="K91" s="91">
        <v>0.05</v>
      </c>
      <c r="L91" s="90" t="s">
        <v>28</v>
      </c>
      <c r="M91" s="90" t="s">
        <v>28</v>
      </c>
      <c r="N91" s="90" t="s">
        <v>28</v>
      </c>
      <c r="O91" s="90" t="s">
        <v>28</v>
      </c>
      <c r="P91" s="90" t="s">
        <v>28</v>
      </c>
      <c r="Q91" s="92">
        <f>I91*J91</f>
        <v>23.650000000000002</v>
      </c>
      <c r="R91" s="92">
        <f>I91*K91</f>
        <v>23.650000000000002</v>
      </c>
      <c r="S91" s="93">
        <f aca="true" t="shared" si="85" ref="S91:S94">Q91*30</f>
        <v>709.5000000000001</v>
      </c>
      <c r="T91" s="93">
        <f aca="true" t="shared" si="86" ref="T91:T92">R91*30</f>
        <v>709.5000000000001</v>
      </c>
      <c r="U91" s="92">
        <f>Q91*365</f>
        <v>8632.25</v>
      </c>
      <c r="V91" s="94">
        <f aca="true" t="shared" si="87" ref="V91:V94">R91*365</f>
        <v>8632.25</v>
      </c>
      <c r="W91" s="94">
        <f>U91*0.128</f>
        <v>1104.928</v>
      </c>
      <c r="X91" s="94">
        <f>V91*0.15</f>
        <v>1294.8374999999999</v>
      </c>
      <c r="Y91" s="5" t="s">
        <v>160</v>
      </c>
    </row>
    <row r="92" spans="2:25" ht="57.75" customHeight="1" thickBot="1">
      <c r="B92" s="85" t="s">
        <v>22</v>
      </c>
      <c r="C92" s="85" t="s">
        <v>23</v>
      </c>
      <c r="D92" s="86" t="s">
        <v>33</v>
      </c>
      <c r="E92" s="85">
        <v>1</v>
      </c>
      <c r="F92" s="85" t="s">
        <v>31</v>
      </c>
      <c r="G92" s="87" t="s">
        <v>34</v>
      </c>
      <c r="H92" s="88" t="s">
        <v>27</v>
      </c>
      <c r="I92" s="89">
        <v>896</v>
      </c>
      <c r="J92" s="90">
        <v>0.05</v>
      </c>
      <c r="K92" s="91">
        <v>0.05</v>
      </c>
      <c r="L92" s="90" t="s">
        <v>28</v>
      </c>
      <c r="M92" s="90" t="s">
        <v>28</v>
      </c>
      <c r="N92" s="90" t="s">
        <v>28</v>
      </c>
      <c r="O92" s="90" t="s">
        <v>28</v>
      </c>
      <c r="P92" s="90" t="s">
        <v>28</v>
      </c>
      <c r="Q92" s="92">
        <f>I92*J92</f>
        <v>44.800000000000004</v>
      </c>
      <c r="R92" s="92">
        <f>I92*K92</f>
        <v>44.800000000000004</v>
      </c>
      <c r="S92" s="93">
        <f t="shared" si="85"/>
        <v>1344.0000000000002</v>
      </c>
      <c r="T92" s="93">
        <f t="shared" si="86"/>
        <v>1344.0000000000002</v>
      </c>
      <c r="U92" s="92">
        <f aca="true" t="shared" si="88" ref="U92:U94">Q92*365</f>
        <v>16352.000000000002</v>
      </c>
      <c r="V92" s="94">
        <f t="shared" si="87"/>
        <v>16352.000000000002</v>
      </c>
      <c r="W92" s="94">
        <f>U92*0.2</f>
        <v>3270.4000000000005</v>
      </c>
      <c r="X92" s="94">
        <f>V92*0.2</f>
        <v>3270.4000000000005</v>
      </c>
      <c r="Y92" s="5" t="s">
        <v>169</v>
      </c>
    </row>
    <row r="93" spans="2:25" ht="57.75" customHeight="1" thickBot="1">
      <c r="B93" s="85" t="s">
        <v>22</v>
      </c>
      <c r="C93" s="85" t="s">
        <v>23</v>
      </c>
      <c r="D93" s="86" t="s">
        <v>35</v>
      </c>
      <c r="E93" s="85">
        <v>1</v>
      </c>
      <c r="F93" s="85" t="s">
        <v>31</v>
      </c>
      <c r="G93" s="87" t="s">
        <v>36</v>
      </c>
      <c r="H93" s="88" t="s">
        <v>27</v>
      </c>
      <c r="I93" s="89">
        <v>6863</v>
      </c>
      <c r="J93" s="90">
        <v>0.05</v>
      </c>
      <c r="K93" s="91">
        <v>0.05</v>
      </c>
      <c r="L93" s="90" t="s">
        <v>28</v>
      </c>
      <c r="M93" s="90" t="s">
        <v>28</v>
      </c>
      <c r="N93" s="90" t="s">
        <v>28</v>
      </c>
      <c r="O93" s="90" t="s">
        <v>28</v>
      </c>
      <c r="P93" s="90" t="s">
        <v>28</v>
      </c>
      <c r="Q93" s="92">
        <f>I93*J93</f>
        <v>343.15000000000003</v>
      </c>
      <c r="R93" s="92">
        <f>I93*K93</f>
        <v>343.15000000000003</v>
      </c>
      <c r="S93" s="93">
        <f t="shared" si="85"/>
        <v>10294.500000000002</v>
      </c>
      <c r="T93" s="93">
        <f>R93*30</f>
        <v>10294.500000000002</v>
      </c>
      <c r="U93" s="92">
        <f t="shared" si="88"/>
        <v>125249.75000000001</v>
      </c>
      <c r="V93" s="94">
        <f t="shared" si="87"/>
        <v>125249.75000000001</v>
      </c>
      <c r="W93" s="94">
        <f>U93*0.14</f>
        <v>17534.965000000004</v>
      </c>
      <c r="X93" s="94">
        <f>V93*0.14</f>
        <v>17534.965000000004</v>
      </c>
      <c r="Y93" s="5" t="s">
        <v>161</v>
      </c>
    </row>
    <row r="94" spans="2:25" ht="57.75" customHeight="1" thickBot="1">
      <c r="B94" s="85" t="s">
        <v>22</v>
      </c>
      <c r="C94" s="85" t="s">
        <v>23</v>
      </c>
      <c r="D94" s="86" t="s">
        <v>37</v>
      </c>
      <c r="E94" s="85">
        <v>1</v>
      </c>
      <c r="F94" s="85" t="s">
        <v>31</v>
      </c>
      <c r="G94" s="87" t="s">
        <v>38</v>
      </c>
      <c r="H94" s="88" t="s">
        <v>27</v>
      </c>
      <c r="I94" s="89">
        <v>2376</v>
      </c>
      <c r="J94" s="90">
        <v>0.05</v>
      </c>
      <c r="K94" s="91">
        <v>0.05</v>
      </c>
      <c r="L94" s="90" t="s">
        <v>28</v>
      </c>
      <c r="M94" s="90" t="s">
        <v>28</v>
      </c>
      <c r="N94" s="90" t="s">
        <v>28</v>
      </c>
      <c r="O94" s="90" t="s">
        <v>28</v>
      </c>
      <c r="P94" s="90" t="s">
        <v>28</v>
      </c>
      <c r="Q94" s="92">
        <f>I94*J94</f>
        <v>118.80000000000001</v>
      </c>
      <c r="R94" s="92">
        <f>I94*K94</f>
        <v>118.80000000000001</v>
      </c>
      <c r="S94" s="93">
        <f t="shared" si="85"/>
        <v>3564.0000000000005</v>
      </c>
      <c r="T94" s="93">
        <f aca="true" t="shared" si="89" ref="T94">R94*30</f>
        <v>3564.0000000000005</v>
      </c>
      <c r="U94" s="92">
        <f t="shared" si="88"/>
        <v>43362.00000000001</v>
      </c>
      <c r="V94" s="94">
        <f t="shared" si="87"/>
        <v>43362.00000000001</v>
      </c>
      <c r="W94" s="94">
        <f>U94*0.4</f>
        <v>17344.800000000003</v>
      </c>
      <c r="X94" s="94">
        <f>V94*0.4</f>
        <v>17344.800000000003</v>
      </c>
      <c r="Y94" s="5" t="s">
        <v>163</v>
      </c>
    </row>
    <row r="95" spans="2:25" ht="21.6" customHeight="1" thickBot="1">
      <c r="B95" s="170" t="s">
        <v>39</v>
      </c>
      <c r="C95" s="171"/>
      <c r="D95" s="171"/>
      <c r="E95" s="171"/>
      <c r="F95" s="171"/>
      <c r="G95" s="171"/>
      <c r="H95" s="171"/>
      <c r="I95" s="171"/>
      <c r="J95" s="171"/>
      <c r="K95" s="171"/>
      <c r="L95" s="171"/>
      <c r="M95" s="171"/>
      <c r="N95" s="171"/>
      <c r="O95" s="171"/>
      <c r="P95" s="171"/>
      <c r="Q95" s="171"/>
      <c r="R95" s="171"/>
      <c r="S95" s="171"/>
      <c r="T95" s="171"/>
      <c r="U95" s="171"/>
      <c r="V95" s="171"/>
      <c r="W95" s="95"/>
      <c r="X95" s="95"/>
      <c r="Y95" s="5"/>
    </row>
    <row r="96" spans="2:25" ht="57.75" customHeight="1" thickBot="1">
      <c r="B96" s="85" t="s">
        <v>22</v>
      </c>
      <c r="C96" s="85" t="s">
        <v>23</v>
      </c>
      <c r="D96" s="85" t="s">
        <v>40</v>
      </c>
      <c r="E96" s="85">
        <v>1</v>
      </c>
      <c r="F96" s="85" t="s">
        <v>25</v>
      </c>
      <c r="G96" s="87" t="s">
        <v>41</v>
      </c>
      <c r="H96" s="88" t="s">
        <v>42</v>
      </c>
      <c r="I96" s="89" t="s">
        <v>28</v>
      </c>
      <c r="J96" s="89" t="s">
        <v>28</v>
      </c>
      <c r="K96" s="89" t="s">
        <v>28</v>
      </c>
      <c r="L96" s="89" t="s">
        <v>28</v>
      </c>
      <c r="M96" s="89" t="s">
        <v>28</v>
      </c>
      <c r="N96" s="89" t="s">
        <v>28</v>
      </c>
      <c r="O96" s="89" t="s">
        <v>28</v>
      </c>
      <c r="P96" s="89" t="s">
        <v>28</v>
      </c>
      <c r="Q96" s="92">
        <v>2.67</v>
      </c>
      <c r="R96" s="92">
        <v>13.32</v>
      </c>
      <c r="S96" s="92">
        <f aca="true" t="shared" si="90" ref="S96">Q96*30</f>
        <v>80.1</v>
      </c>
      <c r="T96" s="92">
        <f aca="true" t="shared" si="91" ref="T96">R96*30</f>
        <v>399.6</v>
      </c>
      <c r="U96" s="92">
        <f aca="true" t="shared" si="92" ref="U96:U102">Q96*365</f>
        <v>974.55</v>
      </c>
      <c r="V96" s="94">
        <f aca="true" t="shared" si="93" ref="V96:V102">R96*365</f>
        <v>4861.8</v>
      </c>
      <c r="W96" s="94">
        <f>U96</f>
        <v>974.55</v>
      </c>
      <c r="X96" s="94">
        <f>V96*0.82</f>
        <v>3986.676</v>
      </c>
      <c r="Y96" s="5" t="s">
        <v>114</v>
      </c>
    </row>
    <row r="97" spans="2:25" ht="57.75" customHeight="1" thickBot="1">
      <c r="B97" s="85" t="s">
        <v>22</v>
      </c>
      <c r="C97" s="85" t="s">
        <v>23</v>
      </c>
      <c r="D97" s="85" t="s">
        <v>43</v>
      </c>
      <c r="E97" s="85">
        <v>1</v>
      </c>
      <c r="F97" s="85" t="s">
        <v>25</v>
      </c>
      <c r="G97" s="87" t="s">
        <v>44</v>
      </c>
      <c r="H97" s="88" t="s">
        <v>42</v>
      </c>
      <c r="I97" s="89" t="s">
        <v>28</v>
      </c>
      <c r="J97" s="89" t="s">
        <v>28</v>
      </c>
      <c r="K97" s="89" t="s">
        <v>28</v>
      </c>
      <c r="L97" s="89">
        <v>10</v>
      </c>
      <c r="M97" s="89">
        <v>24</v>
      </c>
      <c r="N97" s="89">
        <v>30</v>
      </c>
      <c r="O97" s="89">
        <v>2</v>
      </c>
      <c r="P97" s="89">
        <v>50</v>
      </c>
      <c r="Q97" s="92">
        <f>L97*O97*M97*0.0036</f>
        <v>1.728</v>
      </c>
      <c r="R97" s="92">
        <f>L97*P97*M97*0.0036</f>
        <v>43.199999999999996</v>
      </c>
      <c r="S97" s="92">
        <f aca="true" t="shared" si="94" ref="S97:S102">Q97*30</f>
        <v>51.839999999999996</v>
      </c>
      <c r="T97" s="92">
        <f aca="true" t="shared" si="95" ref="T97:T102">R97*30</f>
        <v>1295.9999999999998</v>
      </c>
      <c r="U97" s="92">
        <f t="shared" si="92"/>
        <v>630.72</v>
      </c>
      <c r="V97" s="94">
        <f t="shared" si="93"/>
        <v>15767.999999999998</v>
      </c>
      <c r="W97" s="94">
        <f>U97</f>
        <v>630.72</v>
      </c>
      <c r="X97" s="94">
        <f>V97</f>
        <v>15767.999999999998</v>
      </c>
      <c r="Y97" s="5" t="s">
        <v>45</v>
      </c>
    </row>
    <row r="98" spans="2:25" ht="57.75" customHeight="1" thickBot="1">
      <c r="B98" s="85" t="s">
        <v>22</v>
      </c>
      <c r="C98" s="85" t="s">
        <v>23</v>
      </c>
      <c r="D98" s="85" t="s">
        <v>40</v>
      </c>
      <c r="E98" s="85">
        <v>1</v>
      </c>
      <c r="F98" s="85" t="s">
        <v>25</v>
      </c>
      <c r="G98" s="87" t="s">
        <v>46</v>
      </c>
      <c r="H98" s="88" t="s">
        <v>42</v>
      </c>
      <c r="I98" s="89" t="s">
        <v>28</v>
      </c>
      <c r="J98" s="89" t="s">
        <v>28</v>
      </c>
      <c r="K98" s="89" t="s">
        <v>28</v>
      </c>
      <c r="L98" s="89">
        <v>20</v>
      </c>
      <c r="M98" s="89">
        <v>24</v>
      </c>
      <c r="N98" s="89">
        <v>30</v>
      </c>
      <c r="O98" s="89">
        <v>2</v>
      </c>
      <c r="P98" s="89">
        <v>50</v>
      </c>
      <c r="Q98" s="92">
        <f>L98*O98*M98*0.0036</f>
        <v>3.456</v>
      </c>
      <c r="R98" s="92">
        <f>L98*P98*M98*0.0036</f>
        <v>86.39999999999999</v>
      </c>
      <c r="S98" s="92">
        <f t="shared" si="94"/>
        <v>103.67999999999999</v>
      </c>
      <c r="T98" s="92">
        <f t="shared" si="95"/>
        <v>2591.9999999999995</v>
      </c>
      <c r="U98" s="92">
        <f t="shared" si="92"/>
        <v>1261.44</v>
      </c>
      <c r="V98" s="94">
        <f t="shared" si="93"/>
        <v>31535.999999999996</v>
      </c>
      <c r="W98" s="94">
        <f>U98</f>
        <v>1261.44</v>
      </c>
      <c r="X98" s="94">
        <f>V98</f>
        <v>31535.999999999996</v>
      </c>
      <c r="Y98" s="5" t="s">
        <v>45</v>
      </c>
    </row>
    <row r="99" spans="2:25" ht="57.75" customHeight="1" thickBot="1">
      <c r="B99" s="85" t="s">
        <v>22</v>
      </c>
      <c r="C99" s="85" t="s">
        <v>23</v>
      </c>
      <c r="D99" s="85" t="s">
        <v>40</v>
      </c>
      <c r="E99" s="85">
        <v>1</v>
      </c>
      <c r="F99" s="85" t="s">
        <v>25</v>
      </c>
      <c r="G99" s="87" t="s">
        <v>47</v>
      </c>
      <c r="H99" s="88" t="s">
        <v>42</v>
      </c>
      <c r="I99" s="89" t="s">
        <v>28</v>
      </c>
      <c r="J99" s="89" t="s">
        <v>28</v>
      </c>
      <c r="K99" s="89" t="s">
        <v>28</v>
      </c>
      <c r="L99" s="89" t="s">
        <v>28</v>
      </c>
      <c r="M99" s="89" t="s">
        <v>28</v>
      </c>
      <c r="N99" s="89" t="s">
        <v>28</v>
      </c>
      <c r="O99" s="89" t="s">
        <v>28</v>
      </c>
      <c r="P99" s="89" t="s">
        <v>28</v>
      </c>
      <c r="Q99" s="92">
        <v>7.52</v>
      </c>
      <c r="R99" s="92">
        <v>11.1</v>
      </c>
      <c r="S99" s="92">
        <f t="shared" si="94"/>
        <v>225.6</v>
      </c>
      <c r="T99" s="92">
        <f t="shared" si="95"/>
        <v>333</v>
      </c>
      <c r="U99" s="92">
        <f t="shared" si="92"/>
        <v>2744.7999999999997</v>
      </c>
      <c r="V99" s="94">
        <f t="shared" si="93"/>
        <v>4051.5</v>
      </c>
      <c r="W99" s="94">
        <f>U99*0.7</f>
        <v>1921.3599999999997</v>
      </c>
      <c r="X99" s="94">
        <f>V99*0.69</f>
        <v>2795.535</v>
      </c>
      <c r="Y99" s="5" t="s">
        <v>109</v>
      </c>
    </row>
    <row r="100" spans="2:25" ht="57.75" customHeight="1" thickBot="1">
      <c r="B100" s="85" t="s">
        <v>22</v>
      </c>
      <c r="C100" s="85" t="s">
        <v>23</v>
      </c>
      <c r="D100" s="85" t="s">
        <v>49</v>
      </c>
      <c r="E100" s="85">
        <v>1</v>
      </c>
      <c r="F100" s="85" t="s">
        <v>25</v>
      </c>
      <c r="G100" s="87" t="s">
        <v>50</v>
      </c>
      <c r="H100" s="88" t="s">
        <v>42</v>
      </c>
      <c r="I100" s="89" t="s">
        <v>28</v>
      </c>
      <c r="J100" s="89" t="s">
        <v>28</v>
      </c>
      <c r="K100" s="89" t="s">
        <v>28</v>
      </c>
      <c r="L100" s="89">
        <v>1</v>
      </c>
      <c r="M100" s="89">
        <v>24</v>
      </c>
      <c r="N100" s="89">
        <v>30</v>
      </c>
      <c r="O100" s="89">
        <v>50</v>
      </c>
      <c r="P100" s="89">
        <v>50</v>
      </c>
      <c r="Q100" s="96">
        <f>L100*O100*0.0036*M100</f>
        <v>4.32</v>
      </c>
      <c r="R100" s="96">
        <f>L100*P100*0.0036*M100</f>
        <v>4.32</v>
      </c>
      <c r="S100" s="96">
        <f>Q100*30</f>
        <v>129.60000000000002</v>
      </c>
      <c r="T100" s="92">
        <f>R100*30</f>
        <v>129.60000000000002</v>
      </c>
      <c r="U100" s="92">
        <f>Q100*365</f>
        <v>1576.8000000000002</v>
      </c>
      <c r="V100" s="94">
        <f>R100*365</f>
        <v>1576.8000000000002</v>
      </c>
      <c r="W100" s="94">
        <f>U100</f>
        <v>1576.8000000000002</v>
      </c>
      <c r="X100" s="94">
        <f>V100</f>
        <v>1576.8000000000002</v>
      </c>
      <c r="Y100" s="5" t="s">
        <v>111</v>
      </c>
    </row>
    <row r="101" spans="2:25" ht="57.75" customHeight="1" thickBot="1">
      <c r="B101" s="85" t="s">
        <v>22</v>
      </c>
      <c r="C101" s="85" t="s">
        <v>23</v>
      </c>
      <c r="D101" s="85" t="s">
        <v>166</v>
      </c>
      <c r="E101" s="85">
        <v>1</v>
      </c>
      <c r="F101" s="85" t="s">
        <v>25</v>
      </c>
      <c r="G101" s="87" t="s">
        <v>167</v>
      </c>
      <c r="H101" s="88" t="s">
        <v>42</v>
      </c>
      <c r="I101" s="89" t="s">
        <v>28</v>
      </c>
      <c r="J101" s="89" t="s">
        <v>28</v>
      </c>
      <c r="K101" s="89" t="s">
        <v>28</v>
      </c>
      <c r="L101" s="164">
        <v>3.031</v>
      </c>
      <c r="M101" s="89">
        <v>8</v>
      </c>
      <c r="N101" s="89">
        <v>30</v>
      </c>
      <c r="O101" s="89">
        <v>50</v>
      </c>
      <c r="P101" s="89">
        <v>50</v>
      </c>
      <c r="Q101" s="92">
        <f>O101*L101*M101*0.0036</f>
        <v>4.3646400000000005</v>
      </c>
      <c r="R101" s="92">
        <f>P101*L101*M101*0.0036</f>
        <v>4.3646400000000005</v>
      </c>
      <c r="S101" s="92">
        <f aca="true" t="shared" si="96" ref="S101">Q101*30</f>
        <v>130.93920000000003</v>
      </c>
      <c r="T101" s="92">
        <f aca="true" t="shared" si="97" ref="T101">R101*30</f>
        <v>130.93920000000003</v>
      </c>
      <c r="U101" s="92">
        <f aca="true" t="shared" si="98" ref="U101">Q101*365</f>
        <v>1593.0936000000002</v>
      </c>
      <c r="V101" s="94">
        <f aca="true" t="shared" si="99" ref="V101">R101*365</f>
        <v>1593.0936000000002</v>
      </c>
      <c r="W101" s="94">
        <f>U101</f>
        <v>1593.0936000000002</v>
      </c>
      <c r="X101" s="94">
        <f>V101</f>
        <v>1593.0936000000002</v>
      </c>
      <c r="Y101" s="5" t="s">
        <v>168</v>
      </c>
    </row>
    <row r="102" spans="2:25" s="20" customFormat="1" ht="57.75" customHeight="1" thickBot="1">
      <c r="B102" s="85" t="s">
        <v>22</v>
      </c>
      <c r="C102" s="85" t="s">
        <v>23</v>
      </c>
      <c r="D102" s="85" t="s">
        <v>52</v>
      </c>
      <c r="E102" s="85">
        <v>1</v>
      </c>
      <c r="F102" s="85" t="s">
        <v>25</v>
      </c>
      <c r="G102" s="87" t="s">
        <v>53</v>
      </c>
      <c r="H102" s="88" t="s">
        <v>42</v>
      </c>
      <c r="I102" s="89" t="s">
        <v>28</v>
      </c>
      <c r="J102" s="89" t="s">
        <v>28</v>
      </c>
      <c r="K102" s="89" t="s">
        <v>28</v>
      </c>
      <c r="L102" s="89">
        <v>0.3</v>
      </c>
      <c r="M102" s="89">
        <v>24</v>
      </c>
      <c r="N102" s="89">
        <v>30</v>
      </c>
      <c r="O102" s="89">
        <v>2</v>
      </c>
      <c r="P102" s="89">
        <v>193</v>
      </c>
      <c r="Q102" s="92">
        <f>L102*O102*M102*0.0036</f>
        <v>0.05183999999999999</v>
      </c>
      <c r="R102" s="92">
        <f>L102*P102*M102*0.0036</f>
        <v>5.00256</v>
      </c>
      <c r="S102" s="92">
        <f t="shared" si="94"/>
        <v>1.5551999999999997</v>
      </c>
      <c r="T102" s="92">
        <f t="shared" si="95"/>
        <v>150.0768</v>
      </c>
      <c r="U102" s="92">
        <f t="shared" si="92"/>
        <v>18.921599999999998</v>
      </c>
      <c r="V102" s="94">
        <f t="shared" si="93"/>
        <v>1825.9343999999999</v>
      </c>
      <c r="W102" s="94">
        <f>U102</f>
        <v>18.921599999999998</v>
      </c>
      <c r="X102" s="94">
        <f>V102*0.26</f>
        <v>474.74294399999997</v>
      </c>
      <c r="Y102" s="21" t="s">
        <v>110</v>
      </c>
    </row>
    <row r="103" spans="1:25" ht="26.45" customHeight="1" thickBot="1">
      <c r="A103"/>
      <c r="B103" s="173" t="s">
        <v>104</v>
      </c>
      <c r="C103" s="174"/>
      <c r="D103" s="174"/>
      <c r="E103" s="174"/>
      <c r="F103" s="174"/>
      <c r="G103" s="174"/>
      <c r="H103" s="174"/>
      <c r="I103" s="174"/>
      <c r="J103" s="174"/>
      <c r="K103" s="174"/>
      <c r="L103" s="174"/>
      <c r="M103" s="174"/>
      <c r="N103" s="174"/>
      <c r="O103" s="174"/>
      <c r="P103" s="174"/>
      <c r="Q103" s="174"/>
      <c r="R103" s="174"/>
      <c r="S103" s="174"/>
      <c r="T103" s="175"/>
      <c r="U103" s="97">
        <f>SUM(U90:U102)</f>
        <v>228767.57519999996</v>
      </c>
      <c r="V103" s="97">
        <f>SUM(V90:V102)</f>
        <v>281180.378</v>
      </c>
      <c r="W103" s="97">
        <f>SUM(W90:W102)</f>
        <v>52506.22820000002</v>
      </c>
      <c r="X103" s="97">
        <f aca="true" t="shared" si="100" ref="X103">SUM(X90:X102)</f>
        <v>102450.10004399999</v>
      </c>
      <c r="Y103" s="5"/>
    </row>
    <row r="106" ht="57.75" customHeight="1">
      <c r="X106" s="165"/>
    </row>
  </sheetData>
  <sheetProtection algorithmName="SHA-512" hashValue="YUYVIXnUiZZZi+V/Pq7/L/ZLnxIOpYihQPa/4M2qLFCKQ45AxHEVZyTd7ThPvVzOAxUxjFWTQqKPWRe+ol5bsA==" saltValue="ct7PaV7sU6lCe+58x4qbkw==" spinCount="100000" sheet="1" formatCells="0" formatColumns="0" formatRows="0" insertColumns="0" insertRows="0" insertHyperlinks="0" deleteColumns="0" deleteRows="0" sort="0" autoFilter="0" pivotTables="0"/>
  <autoFilter ref="G1:G103"/>
  <mergeCells count="29">
    <mergeCell ref="C2:Y3"/>
    <mergeCell ref="B2:B6"/>
    <mergeCell ref="C4:Y4"/>
    <mergeCell ref="C5:Y5"/>
    <mergeCell ref="C6:Y6"/>
    <mergeCell ref="B7:Y7"/>
    <mergeCell ref="B31:V31"/>
    <mergeCell ref="B39:T39"/>
    <mergeCell ref="B25:X25"/>
    <mergeCell ref="B24:Y24"/>
    <mergeCell ref="B8:Y8"/>
    <mergeCell ref="B23:T23"/>
    <mergeCell ref="B15:V15"/>
    <mergeCell ref="B41:X41"/>
    <mergeCell ref="B47:V47"/>
    <mergeCell ref="B55:T55"/>
    <mergeCell ref="A40:XFD40"/>
    <mergeCell ref="B57:X57"/>
    <mergeCell ref="B63:V63"/>
    <mergeCell ref="B71:T71"/>
    <mergeCell ref="A56:XFD56"/>
    <mergeCell ref="B73:X73"/>
    <mergeCell ref="B79:V79"/>
    <mergeCell ref="B87:T87"/>
    <mergeCell ref="A72:XFD72"/>
    <mergeCell ref="B89:X89"/>
    <mergeCell ref="B95:V95"/>
    <mergeCell ref="B103:T103"/>
    <mergeCell ref="A88:XFD88"/>
  </mergeCells>
  <printOptions/>
  <pageMargins left="0.7" right="0.7" top="0.75" bottom="0.75" header="0.3" footer="0.3"/>
  <pageSetup horizontalDpi="600" verticalDpi="600" orientation="portrait" r:id="rId2"/>
  <ignoredErrors>
    <ignoredError sqref="W61:X61 W35:X35 W51 X67" 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1C524-0D04-4D01-A0AB-415E3280C323}">
  <dimension ref="A1:Y121"/>
  <sheetViews>
    <sheetView zoomScale="70" zoomScaleNormal="70" workbookViewId="0" topLeftCell="A1">
      <selection activeCell="D11" sqref="D11"/>
    </sheetView>
  </sheetViews>
  <sheetFormatPr defaultColWidth="11.421875" defaultRowHeight="57.75" customHeight="1"/>
  <cols>
    <col min="1" max="1" width="6.57421875" style="1" customWidth="1"/>
    <col min="2" max="2" width="32.00390625" style="1" bestFit="1" customWidth="1"/>
    <col min="3" max="3" width="15.421875" style="2" bestFit="1" customWidth="1"/>
    <col min="4" max="4" width="42.28125" style="3" bestFit="1" customWidth="1"/>
    <col min="5" max="5" width="7.421875" style="1" bestFit="1" customWidth="1"/>
    <col min="6" max="6" width="13.8515625" style="1" bestFit="1" customWidth="1"/>
    <col min="7" max="7" width="67.140625" style="7" customWidth="1"/>
    <col min="8" max="16" width="14.57421875" style="2" customWidth="1"/>
    <col min="17" max="20" width="14.57421875" style="4" customWidth="1"/>
    <col min="21" max="22" width="24.8515625" style="4" customWidth="1"/>
    <col min="23" max="23" width="24.57421875" style="100" customWidth="1"/>
    <col min="24" max="24" width="24.8515625" style="100" customWidth="1"/>
    <col min="25" max="25" width="165.421875" style="6" customWidth="1"/>
    <col min="26" max="16384" width="11.421875" style="1" customWidth="1"/>
  </cols>
  <sheetData>
    <row r="1" spans="17:24" ht="15" thickBot="1">
      <c r="Q1" s="4" t="s">
        <v>177</v>
      </c>
      <c r="V1" s="4" t="s">
        <v>178</v>
      </c>
      <c r="W1" s="100" t="s">
        <v>176</v>
      </c>
      <c r="X1" s="100" t="s">
        <v>175</v>
      </c>
    </row>
    <row r="2" spans="2:25" ht="27" customHeight="1">
      <c r="B2" s="214"/>
      <c r="C2" s="209" t="s">
        <v>0</v>
      </c>
      <c r="D2" s="210"/>
      <c r="E2" s="210"/>
      <c r="F2" s="210"/>
      <c r="G2" s="210"/>
      <c r="H2" s="210"/>
      <c r="I2" s="210"/>
      <c r="J2" s="210"/>
      <c r="K2" s="210"/>
      <c r="L2" s="210"/>
      <c r="M2" s="210"/>
      <c r="N2" s="210"/>
      <c r="O2" s="210"/>
      <c r="P2" s="210"/>
      <c r="Q2" s="210"/>
      <c r="R2" s="210"/>
      <c r="S2" s="210"/>
      <c r="T2" s="210"/>
      <c r="U2" s="210"/>
      <c r="V2" s="210"/>
      <c r="W2" s="210"/>
      <c r="X2" s="210"/>
      <c r="Y2" s="211"/>
    </row>
    <row r="3" spans="2:25" ht="27" customHeight="1">
      <c r="B3" s="215"/>
      <c r="C3" s="212"/>
      <c r="D3" s="192"/>
      <c r="E3" s="192"/>
      <c r="F3" s="192"/>
      <c r="G3" s="192"/>
      <c r="H3" s="192"/>
      <c r="I3" s="192"/>
      <c r="J3" s="192"/>
      <c r="K3" s="192"/>
      <c r="L3" s="192"/>
      <c r="M3" s="192"/>
      <c r="N3" s="192"/>
      <c r="O3" s="192"/>
      <c r="P3" s="192"/>
      <c r="Q3" s="192"/>
      <c r="R3" s="192"/>
      <c r="S3" s="192"/>
      <c r="T3" s="192"/>
      <c r="U3" s="192"/>
      <c r="V3" s="192"/>
      <c r="W3" s="192"/>
      <c r="X3" s="192"/>
      <c r="Y3" s="213"/>
    </row>
    <row r="4" spans="2:25" ht="31.35" customHeight="1">
      <c r="B4" s="215"/>
      <c r="C4" s="212" t="s">
        <v>1</v>
      </c>
      <c r="D4" s="192"/>
      <c r="E4" s="192"/>
      <c r="F4" s="192"/>
      <c r="G4" s="192"/>
      <c r="H4" s="192"/>
      <c r="I4" s="192"/>
      <c r="J4" s="192"/>
      <c r="K4" s="192"/>
      <c r="L4" s="192"/>
      <c r="M4" s="192"/>
      <c r="N4" s="192"/>
      <c r="O4" s="192"/>
      <c r="P4" s="192"/>
      <c r="Q4" s="192"/>
      <c r="R4" s="192"/>
      <c r="S4" s="192"/>
      <c r="T4" s="192"/>
      <c r="U4" s="192"/>
      <c r="V4" s="192"/>
      <c r="W4" s="192"/>
      <c r="X4" s="192"/>
      <c r="Y4" s="213"/>
    </row>
    <row r="5" spans="2:25" ht="31.35" customHeight="1">
      <c r="B5" s="215"/>
      <c r="C5" s="212" t="s">
        <v>85</v>
      </c>
      <c r="D5" s="192"/>
      <c r="E5" s="192"/>
      <c r="F5" s="192"/>
      <c r="G5" s="192"/>
      <c r="H5" s="192"/>
      <c r="I5" s="192"/>
      <c r="J5" s="192"/>
      <c r="K5" s="192"/>
      <c r="L5" s="192"/>
      <c r="M5" s="192"/>
      <c r="N5" s="192"/>
      <c r="O5" s="192"/>
      <c r="P5" s="192"/>
      <c r="Q5" s="192"/>
      <c r="R5" s="192"/>
      <c r="S5" s="192"/>
      <c r="T5" s="192"/>
      <c r="U5" s="192"/>
      <c r="V5" s="192"/>
      <c r="W5" s="192"/>
      <c r="X5" s="192"/>
      <c r="Y5" s="213"/>
    </row>
    <row r="6" spans="2:25" ht="31.35" customHeight="1" thickBot="1">
      <c r="B6" s="216"/>
      <c r="C6" s="217" t="s">
        <v>2</v>
      </c>
      <c r="D6" s="218"/>
      <c r="E6" s="218"/>
      <c r="F6" s="218"/>
      <c r="G6" s="218"/>
      <c r="H6" s="218"/>
      <c r="I6" s="218"/>
      <c r="J6" s="218"/>
      <c r="K6" s="218"/>
      <c r="L6" s="218"/>
      <c r="M6" s="218"/>
      <c r="N6" s="218"/>
      <c r="O6" s="218"/>
      <c r="P6" s="218"/>
      <c r="Q6" s="218"/>
      <c r="R6" s="218"/>
      <c r="S6" s="218"/>
      <c r="T6" s="218"/>
      <c r="U6" s="218"/>
      <c r="V6" s="218"/>
      <c r="W6" s="218"/>
      <c r="X6" s="218"/>
      <c r="Y6" s="219"/>
    </row>
    <row r="7" spans="2:25" ht="31.5" thickBot="1">
      <c r="B7" s="192" t="s">
        <v>118</v>
      </c>
      <c r="C7" s="192"/>
      <c r="D7" s="192"/>
      <c r="E7" s="192"/>
      <c r="F7" s="192"/>
      <c r="G7" s="192"/>
      <c r="H7" s="192"/>
      <c r="I7" s="192"/>
      <c r="J7" s="192"/>
      <c r="K7" s="192"/>
      <c r="L7" s="192"/>
      <c r="M7" s="192"/>
      <c r="N7" s="192"/>
      <c r="O7" s="192"/>
      <c r="P7" s="192"/>
      <c r="Q7" s="192"/>
      <c r="R7" s="192"/>
      <c r="S7" s="192"/>
      <c r="T7" s="192"/>
      <c r="U7" s="192"/>
      <c r="V7" s="192"/>
      <c r="W7" s="192"/>
      <c r="X7" s="192"/>
      <c r="Y7" s="192"/>
    </row>
    <row r="8" spans="2:25" ht="27" customHeight="1" thickBot="1">
      <c r="B8" s="201" t="s">
        <v>120</v>
      </c>
      <c r="C8" s="202"/>
      <c r="D8" s="202"/>
      <c r="E8" s="202"/>
      <c r="F8" s="202"/>
      <c r="G8" s="202"/>
      <c r="H8" s="202"/>
      <c r="I8" s="202"/>
      <c r="J8" s="202"/>
      <c r="K8" s="202"/>
      <c r="L8" s="202"/>
      <c r="M8" s="202"/>
      <c r="N8" s="202"/>
      <c r="O8" s="202"/>
      <c r="P8" s="202"/>
      <c r="Q8" s="202"/>
      <c r="R8" s="202"/>
      <c r="S8" s="202"/>
      <c r="T8" s="202"/>
      <c r="U8" s="202"/>
      <c r="V8" s="202"/>
      <c r="W8" s="202"/>
      <c r="X8" s="202"/>
      <c r="Y8" s="203"/>
    </row>
    <row r="9" spans="2:25" ht="57.75" customHeight="1" thickBot="1">
      <c r="B9" s="22" t="s">
        <v>3</v>
      </c>
      <c r="C9" s="22" t="s">
        <v>94</v>
      </c>
      <c r="D9" s="23" t="s">
        <v>4</v>
      </c>
      <c r="E9" s="24" t="s">
        <v>5</v>
      </c>
      <c r="F9" s="23" t="s">
        <v>6</v>
      </c>
      <c r="G9" s="23" t="s">
        <v>7</v>
      </c>
      <c r="H9" s="25" t="s">
        <v>8</v>
      </c>
      <c r="I9" s="25" t="s">
        <v>9</v>
      </c>
      <c r="J9" s="23" t="s">
        <v>10</v>
      </c>
      <c r="K9" s="23" t="s">
        <v>11</v>
      </c>
      <c r="L9" s="23" t="s">
        <v>12</v>
      </c>
      <c r="M9" s="23" t="s">
        <v>13</v>
      </c>
      <c r="N9" s="23" t="s">
        <v>14</v>
      </c>
      <c r="O9" s="23" t="s">
        <v>15</v>
      </c>
      <c r="P9" s="26" t="s">
        <v>16</v>
      </c>
      <c r="Q9" s="27" t="s">
        <v>17</v>
      </c>
      <c r="R9" s="27" t="s">
        <v>18</v>
      </c>
      <c r="S9" s="27" t="s">
        <v>19</v>
      </c>
      <c r="T9" s="27" t="s">
        <v>20</v>
      </c>
      <c r="U9" s="10" t="s">
        <v>89</v>
      </c>
      <c r="V9" s="109" t="s">
        <v>90</v>
      </c>
      <c r="W9" s="110" t="s">
        <v>91</v>
      </c>
      <c r="X9" s="110" t="s">
        <v>92</v>
      </c>
      <c r="Y9" s="29" t="s">
        <v>21</v>
      </c>
    </row>
    <row r="10" spans="1:25" ht="57.75" customHeight="1" thickBot="1">
      <c r="A10"/>
      <c r="B10" s="30" t="s">
        <v>22</v>
      </c>
      <c r="C10" s="30" t="s">
        <v>23</v>
      </c>
      <c r="D10" s="31" t="s">
        <v>54</v>
      </c>
      <c r="E10" s="30">
        <v>2</v>
      </c>
      <c r="F10" s="30" t="s">
        <v>31</v>
      </c>
      <c r="G10" s="32" t="s">
        <v>55</v>
      </c>
      <c r="H10" s="33" t="s">
        <v>27</v>
      </c>
      <c r="I10" s="34">
        <v>551</v>
      </c>
      <c r="J10" s="35">
        <v>0.05</v>
      </c>
      <c r="K10" s="35">
        <v>0.05</v>
      </c>
      <c r="L10" s="35" t="s">
        <v>56</v>
      </c>
      <c r="M10" s="35" t="s">
        <v>56</v>
      </c>
      <c r="N10" s="111" t="s">
        <v>56</v>
      </c>
      <c r="O10" s="35" t="s">
        <v>56</v>
      </c>
      <c r="P10" s="35" t="s">
        <v>56</v>
      </c>
      <c r="Q10" s="37">
        <f aca="true" t="shared" si="0" ref="Q10:Q15">I10*J10</f>
        <v>27.55</v>
      </c>
      <c r="R10" s="37">
        <f aca="true" t="shared" si="1" ref="R10:R15">I10*K10</f>
        <v>27.55</v>
      </c>
      <c r="S10" s="38">
        <f>Q10*30</f>
        <v>826.5</v>
      </c>
      <c r="T10" s="38">
        <f>R10*30</f>
        <v>826.5</v>
      </c>
      <c r="U10" s="37">
        <f>Q10*365</f>
        <v>10055.75</v>
      </c>
      <c r="V10" s="37">
        <f>R10*365</f>
        <v>10055.75</v>
      </c>
      <c r="W10" s="37" t="s">
        <v>93</v>
      </c>
      <c r="X10" s="30" t="s">
        <v>93</v>
      </c>
      <c r="Y10" s="112" t="s">
        <v>105</v>
      </c>
    </row>
    <row r="11" spans="1:25" ht="57.75" customHeight="1" thickBot="1">
      <c r="A11"/>
      <c r="B11" s="30" t="s">
        <v>22</v>
      </c>
      <c r="C11" s="30" t="s">
        <v>23</v>
      </c>
      <c r="D11" s="31" t="s">
        <v>57</v>
      </c>
      <c r="E11" s="30">
        <v>2</v>
      </c>
      <c r="F11" s="30" t="s">
        <v>25</v>
      </c>
      <c r="G11" s="32" t="s">
        <v>58</v>
      </c>
      <c r="H11" s="33" t="s">
        <v>27</v>
      </c>
      <c r="I11" s="35">
        <v>4904</v>
      </c>
      <c r="J11" s="35">
        <v>0.05</v>
      </c>
      <c r="K11" s="36">
        <v>0.05</v>
      </c>
      <c r="L11" s="35" t="s">
        <v>56</v>
      </c>
      <c r="M11" s="35" t="s">
        <v>56</v>
      </c>
      <c r="N11" s="35" t="s">
        <v>56</v>
      </c>
      <c r="O11" s="35" t="s">
        <v>56</v>
      </c>
      <c r="P11" s="35" t="s">
        <v>56</v>
      </c>
      <c r="Q11" s="37">
        <f t="shared" si="0"/>
        <v>245.20000000000002</v>
      </c>
      <c r="R11" s="37">
        <f t="shared" si="1"/>
        <v>245.20000000000002</v>
      </c>
      <c r="S11" s="38">
        <f aca="true" t="shared" si="2" ref="S11:T16">Q11*30</f>
        <v>7356.000000000001</v>
      </c>
      <c r="T11" s="38">
        <f t="shared" si="2"/>
        <v>7356.000000000001</v>
      </c>
      <c r="U11" s="37">
        <f aca="true" t="shared" si="3" ref="U11:V16">Q11*365</f>
        <v>89498</v>
      </c>
      <c r="V11" s="37">
        <f t="shared" si="3"/>
        <v>89498</v>
      </c>
      <c r="W11" s="37" t="s">
        <v>93</v>
      </c>
      <c r="X11" s="30" t="s">
        <v>93</v>
      </c>
      <c r="Y11" s="112" t="s">
        <v>106</v>
      </c>
    </row>
    <row r="12" spans="1:25" ht="57.75" customHeight="1" thickBot="1">
      <c r="A12"/>
      <c r="B12" s="30" t="s">
        <v>22</v>
      </c>
      <c r="C12" s="30" t="s">
        <v>23</v>
      </c>
      <c r="D12" s="31" t="s">
        <v>59</v>
      </c>
      <c r="E12" s="30">
        <v>2</v>
      </c>
      <c r="F12" s="30" t="s">
        <v>25</v>
      </c>
      <c r="G12" s="32" t="s">
        <v>60</v>
      </c>
      <c r="H12" s="33" t="s">
        <v>27</v>
      </c>
      <c r="I12" s="35">
        <v>2300</v>
      </c>
      <c r="J12" s="35">
        <v>0.05</v>
      </c>
      <c r="K12" s="36">
        <v>0.05</v>
      </c>
      <c r="L12" s="35" t="s">
        <v>56</v>
      </c>
      <c r="M12" s="35" t="s">
        <v>56</v>
      </c>
      <c r="N12" s="111" t="s">
        <v>56</v>
      </c>
      <c r="O12" s="35" t="s">
        <v>56</v>
      </c>
      <c r="P12" s="35" t="s">
        <v>56</v>
      </c>
      <c r="Q12" s="37">
        <f t="shared" si="0"/>
        <v>115</v>
      </c>
      <c r="R12" s="37">
        <f t="shared" si="1"/>
        <v>115</v>
      </c>
      <c r="S12" s="38">
        <f t="shared" si="2"/>
        <v>3450</v>
      </c>
      <c r="T12" s="38">
        <f t="shared" si="2"/>
        <v>3450</v>
      </c>
      <c r="U12" s="39">
        <f t="shared" si="3"/>
        <v>41975</v>
      </c>
      <c r="V12" s="38">
        <f t="shared" si="3"/>
        <v>41975</v>
      </c>
      <c r="W12" s="37" t="s">
        <v>93</v>
      </c>
      <c r="X12" s="30" t="s">
        <v>93</v>
      </c>
      <c r="Y12" s="112" t="s">
        <v>122</v>
      </c>
    </row>
    <row r="13" spans="1:25" ht="57.75" customHeight="1" thickBot="1">
      <c r="A13"/>
      <c r="B13" s="30" t="s">
        <v>22</v>
      </c>
      <c r="C13" s="30" t="s">
        <v>23</v>
      </c>
      <c r="D13" s="31" t="s">
        <v>61</v>
      </c>
      <c r="E13" s="30">
        <v>2</v>
      </c>
      <c r="F13" s="30" t="s">
        <v>31</v>
      </c>
      <c r="G13" s="32" t="s">
        <v>62</v>
      </c>
      <c r="H13" s="33" t="s">
        <v>27</v>
      </c>
      <c r="I13" s="35">
        <v>778</v>
      </c>
      <c r="J13" s="35">
        <v>0.05</v>
      </c>
      <c r="K13" s="36">
        <v>0.05</v>
      </c>
      <c r="L13" s="35" t="s">
        <v>28</v>
      </c>
      <c r="M13" s="35" t="s">
        <v>28</v>
      </c>
      <c r="N13" s="35" t="s">
        <v>28</v>
      </c>
      <c r="O13" s="35" t="s">
        <v>28</v>
      </c>
      <c r="P13" s="35" t="s">
        <v>28</v>
      </c>
      <c r="Q13" s="38">
        <f t="shared" si="0"/>
        <v>38.900000000000006</v>
      </c>
      <c r="R13" s="38">
        <f t="shared" si="1"/>
        <v>38.900000000000006</v>
      </c>
      <c r="S13" s="38">
        <f t="shared" si="2"/>
        <v>1167.0000000000002</v>
      </c>
      <c r="T13" s="38">
        <f t="shared" si="2"/>
        <v>1167.0000000000002</v>
      </c>
      <c r="U13" s="39">
        <f t="shared" si="3"/>
        <v>14198.500000000002</v>
      </c>
      <c r="V13" s="38">
        <f t="shared" si="3"/>
        <v>14198.500000000002</v>
      </c>
      <c r="W13" s="37" t="s">
        <v>93</v>
      </c>
      <c r="X13" s="30" t="s">
        <v>93</v>
      </c>
      <c r="Y13" s="112" t="s">
        <v>63</v>
      </c>
    </row>
    <row r="14" spans="1:25" s="20" customFormat="1" ht="57.75" customHeight="1" thickBot="1">
      <c r="A14" s="101"/>
      <c r="B14" s="30" t="s">
        <v>22</v>
      </c>
      <c r="C14" s="30" t="s">
        <v>23</v>
      </c>
      <c r="D14" s="31" t="s">
        <v>64</v>
      </c>
      <c r="E14" s="30">
        <v>2</v>
      </c>
      <c r="F14" s="30" t="s">
        <v>25</v>
      </c>
      <c r="G14" s="32" t="s">
        <v>65</v>
      </c>
      <c r="H14" s="33" t="s">
        <v>27</v>
      </c>
      <c r="I14" s="35">
        <v>306</v>
      </c>
      <c r="J14" s="35">
        <v>0.05</v>
      </c>
      <c r="K14" s="36">
        <v>0.05</v>
      </c>
      <c r="L14" s="35" t="s">
        <v>28</v>
      </c>
      <c r="M14" s="35" t="s">
        <v>28</v>
      </c>
      <c r="N14" s="35" t="s">
        <v>28</v>
      </c>
      <c r="O14" s="35" t="s">
        <v>28</v>
      </c>
      <c r="P14" s="35" t="s">
        <v>28</v>
      </c>
      <c r="Q14" s="37">
        <f t="shared" si="0"/>
        <v>15.3</v>
      </c>
      <c r="R14" s="37">
        <f t="shared" si="1"/>
        <v>15.3</v>
      </c>
      <c r="S14" s="38">
        <f t="shared" si="2"/>
        <v>459</v>
      </c>
      <c r="T14" s="38">
        <f t="shared" si="2"/>
        <v>459</v>
      </c>
      <c r="U14" s="39">
        <f t="shared" si="3"/>
        <v>5584.5</v>
      </c>
      <c r="V14" s="38">
        <f t="shared" si="3"/>
        <v>5584.5</v>
      </c>
      <c r="W14" s="37" t="s">
        <v>93</v>
      </c>
      <c r="X14" s="30" t="s">
        <v>93</v>
      </c>
      <c r="Y14" s="112" t="s">
        <v>128</v>
      </c>
    </row>
    <row r="15" spans="1:25" ht="57.75" customHeight="1" thickBot="1">
      <c r="A15"/>
      <c r="B15" s="30" t="s">
        <v>22</v>
      </c>
      <c r="C15" s="30" t="s">
        <v>23</v>
      </c>
      <c r="D15" s="31" t="s">
        <v>66</v>
      </c>
      <c r="E15" s="30">
        <v>2</v>
      </c>
      <c r="F15" s="30" t="s">
        <v>31</v>
      </c>
      <c r="G15" s="32" t="s">
        <v>67</v>
      </c>
      <c r="H15" s="33" t="s">
        <v>27</v>
      </c>
      <c r="I15" s="35">
        <v>374</v>
      </c>
      <c r="J15" s="35">
        <v>0.05</v>
      </c>
      <c r="K15" s="36">
        <v>0.05</v>
      </c>
      <c r="L15" s="35" t="s">
        <v>28</v>
      </c>
      <c r="M15" s="35" t="s">
        <v>28</v>
      </c>
      <c r="N15" s="35" t="s">
        <v>28</v>
      </c>
      <c r="O15" s="35" t="s">
        <v>28</v>
      </c>
      <c r="P15" s="35" t="s">
        <v>28</v>
      </c>
      <c r="Q15" s="37">
        <f t="shared" si="0"/>
        <v>18.7</v>
      </c>
      <c r="R15" s="37">
        <f t="shared" si="1"/>
        <v>18.7</v>
      </c>
      <c r="S15" s="38">
        <f t="shared" si="2"/>
        <v>561</v>
      </c>
      <c r="T15" s="38">
        <f t="shared" si="2"/>
        <v>561</v>
      </c>
      <c r="U15" s="39">
        <f t="shared" si="3"/>
        <v>6825.5</v>
      </c>
      <c r="V15" s="38">
        <f t="shared" si="3"/>
        <v>6825.5</v>
      </c>
      <c r="W15" s="37" t="s">
        <v>93</v>
      </c>
      <c r="X15" s="30" t="s">
        <v>93</v>
      </c>
      <c r="Y15" s="112" t="s">
        <v>68</v>
      </c>
    </row>
    <row r="16" spans="1:25" ht="57.75" customHeight="1" thickBot="1">
      <c r="A16"/>
      <c r="B16" s="30" t="s">
        <v>22</v>
      </c>
      <c r="C16" s="30" t="s">
        <v>23</v>
      </c>
      <c r="D16" s="31" t="s">
        <v>57</v>
      </c>
      <c r="E16" s="30">
        <v>2</v>
      </c>
      <c r="F16" s="30" t="s">
        <v>31</v>
      </c>
      <c r="G16" s="32" t="s">
        <v>69</v>
      </c>
      <c r="H16" s="33" t="s">
        <v>144</v>
      </c>
      <c r="I16" s="35">
        <v>613</v>
      </c>
      <c r="J16" s="35" t="s">
        <v>28</v>
      </c>
      <c r="K16" s="35" t="s">
        <v>28</v>
      </c>
      <c r="L16" s="35" t="s">
        <v>28</v>
      </c>
      <c r="M16" s="35" t="s">
        <v>28</v>
      </c>
      <c r="N16" s="35" t="s">
        <v>28</v>
      </c>
      <c r="O16" s="35" t="s">
        <v>28</v>
      </c>
      <c r="P16" s="35" t="s">
        <v>28</v>
      </c>
      <c r="Q16" s="35">
        <v>9.22</v>
      </c>
      <c r="R16" s="37">
        <v>4.71</v>
      </c>
      <c r="S16" s="38">
        <f t="shared" si="2"/>
        <v>276.6</v>
      </c>
      <c r="T16" s="38">
        <f t="shared" si="2"/>
        <v>141.3</v>
      </c>
      <c r="U16" s="39">
        <f t="shared" si="3"/>
        <v>3365.3</v>
      </c>
      <c r="V16" s="38">
        <f t="shared" si="3"/>
        <v>1719.15</v>
      </c>
      <c r="W16" s="37" t="s">
        <v>93</v>
      </c>
      <c r="X16" s="30" t="s">
        <v>93</v>
      </c>
      <c r="Y16" s="112" t="s">
        <v>126</v>
      </c>
    </row>
    <row r="17" spans="1:25" ht="21.6" customHeight="1" thickBot="1">
      <c r="A17"/>
      <c r="B17" s="201" t="s">
        <v>39</v>
      </c>
      <c r="C17" s="202"/>
      <c r="D17" s="202"/>
      <c r="E17" s="202"/>
      <c r="F17" s="202"/>
      <c r="G17" s="202"/>
      <c r="H17" s="202"/>
      <c r="I17" s="202"/>
      <c r="J17" s="202"/>
      <c r="K17" s="202"/>
      <c r="L17" s="202"/>
      <c r="M17" s="202"/>
      <c r="N17" s="202"/>
      <c r="O17" s="202"/>
      <c r="P17" s="202"/>
      <c r="Q17" s="202"/>
      <c r="R17" s="202"/>
      <c r="S17" s="202"/>
      <c r="T17" s="202"/>
      <c r="U17" s="202"/>
      <c r="V17" s="221"/>
      <c r="W17" s="113"/>
      <c r="X17" s="114"/>
      <c r="Y17" s="114"/>
    </row>
    <row r="18" spans="1:25" ht="57.75" customHeight="1" thickBot="1">
      <c r="A18"/>
      <c r="B18" s="30" t="s">
        <v>22</v>
      </c>
      <c r="C18" s="30" t="s">
        <v>23</v>
      </c>
      <c r="D18" s="31" t="s">
        <v>57</v>
      </c>
      <c r="E18" s="30">
        <v>2</v>
      </c>
      <c r="F18" s="115" t="s">
        <v>25</v>
      </c>
      <c r="G18" s="32" t="s">
        <v>70</v>
      </c>
      <c r="H18" s="33" t="s">
        <v>42</v>
      </c>
      <c r="I18" s="34" t="s">
        <v>28</v>
      </c>
      <c r="J18" s="34" t="s">
        <v>28</v>
      </c>
      <c r="K18" s="34" t="s">
        <v>28</v>
      </c>
      <c r="L18" s="34">
        <v>0.28</v>
      </c>
      <c r="M18" s="34">
        <v>8</v>
      </c>
      <c r="N18" s="34">
        <v>24</v>
      </c>
      <c r="O18" s="34">
        <v>2185</v>
      </c>
      <c r="P18" s="34">
        <v>390</v>
      </c>
      <c r="Q18" s="37">
        <f>L18*O18*0.0036*M18</f>
        <v>17.61984</v>
      </c>
      <c r="R18" s="37">
        <f>L18*P18*0.0036*M18</f>
        <v>3.14496</v>
      </c>
      <c r="S18" s="37">
        <f>Q18*N18</f>
        <v>422.87616</v>
      </c>
      <c r="T18" s="37">
        <f>R18*N18</f>
        <v>75.47904</v>
      </c>
      <c r="U18" s="37">
        <f aca="true" t="shared" si="4" ref="U18:V25">Q18*365</f>
        <v>6431.2416</v>
      </c>
      <c r="V18" s="37">
        <f t="shared" si="4"/>
        <v>1147.9104</v>
      </c>
      <c r="W18" s="37" t="s">
        <v>93</v>
      </c>
      <c r="X18" s="30" t="s">
        <v>93</v>
      </c>
      <c r="Y18" s="112" t="s">
        <v>127</v>
      </c>
    </row>
    <row r="19" spans="1:25" ht="57.75" customHeight="1" thickBot="1">
      <c r="A19"/>
      <c r="B19" s="30" t="s">
        <v>22</v>
      </c>
      <c r="C19" s="30" t="s">
        <v>23</v>
      </c>
      <c r="D19" s="31" t="s">
        <v>71</v>
      </c>
      <c r="E19" s="30">
        <v>2</v>
      </c>
      <c r="F19" s="116" t="s">
        <v>25</v>
      </c>
      <c r="G19" s="32" t="s">
        <v>72</v>
      </c>
      <c r="H19" s="33" t="s">
        <v>42</v>
      </c>
      <c r="I19" s="34" t="s">
        <v>28</v>
      </c>
      <c r="J19" s="34" t="s">
        <v>28</v>
      </c>
      <c r="K19" s="34" t="s">
        <v>28</v>
      </c>
      <c r="L19" s="34" t="s">
        <v>28</v>
      </c>
      <c r="M19" s="34" t="s">
        <v>28</v>
      </c>
      <c r="N19" s="34" t="s">
        <v>28</v>
      </c>
      <c r="O19" s="34" t="s">
        <v>28</v>
      </c>
      <c r="P19" s="34" t="s">
        <v>28</v>
      </c>
      <c r="Q19" s="37">
        <v>96.88</v>
      </c>
      <c r="R19" s="37">
        <v>175.04</v>
      </c>
      <c r="S19" s="37">
        <f aca="true" t="shared" si="5" ref="S19:T25">Q19*30</f>
        <v>2906.3999999999996</v>
      </c>
      <c r="T19" s="37">
        <f t="shared" si="5"/>
        <v>5251.2</v>
      </c>
      <c r="U19" s="37">
        <f>Q19*365</f>
        <v>35361.2</v>
      </c>
      <c r="V19" s="37">
        <f>R19*365</f>
        <v>63889.6</v>
      </c>
      <c r="W19" s="37" t="s">
        <v>93</v>
      </c>
      <c r="X19" s="30" t="s">
        <v>93</v>
      </c>
      <c r="Y19" s="112" t="s">
        <v>73</v>
      </c>
    </row>
    <row r="20" spans="1:25" ht="57.75" customHeight="1" thickBot="1">
      <c r="A20"/>
      <c r="B20" s="30" t="s">
        <v>22</v>
      </c>
      <c r="C20" s="30" t="s">
        <v>23</v>
      </c>
      <c r="D20" s="31" t="s">
        <v>74</v>
      </c>
      <c r="E20" s="30">
        <v>2</v>
      </c>
      <c r="F20" s="30" t="s">
        <v>25</v>
      </c>
      <c r="G20" s="32" t="s">
        <v>75</v>
      </c>
      <c r="H20" s="33" t="s">
        <v>42</v>
      </c>
      <c r="I20" s="34" t="s">
        <v>28</v>
      </c>
      <c r="J20" s="34" t="s">
        <v>28</v>
      </c>
      <c r="K20" s="34" t="s">
        <v>28</v>
      </c>
      <c r="L20" s="34">
        <v>8</v>
      </c>
      <c r="M20" s="34">
        <v>24</v>
      </c>
      <c r="N20" s="34">
        <v>30</v>
      </c>
      <c r="O20" s="34">
        <v>7</v>
      </c>
      <c r="P20" s="34">
        <v>120</v>
      </c>
      <c r="Q20" s="37">
        <f>L20*O20*M20*0.0036</f>
        <v>4.8384</v>
      </c>
      <c r="R20" s="37">
        <f>L20*P20*M20*0.0036</f>
        <v>82.944</v>
      </c>
      <c r="S20" s="37">
        <f t="shared" si="5"/>
        <v>145.152</v>
      </c>
      <c r="T20" s="37">
        <f t="shared" si="5"/>
        <v>2488.32</v>
      </c>
      <c r="U20" s="37">
        <f t="shared" si="4"/>
        <v>1766.016</v>
      </c>
      <c r="V20" s="37">
        <f t="shared" si="4"/>
        <v>30274.56</v>
      </c>
      <c r="W20" s="30" t="s">
        <v>93</v>
      </c>
      <c r="X20" s="30" t="s">
        <v>93</v>
      </c>
      <c r="Y20" s="112" t="s">
        <v>76</v>
      </c>
    </row>
    <row r="21" spans="1:25" ht="57.75" customHeight="1" thickBot="1">
      <c r="A21"/>
      <c r="B21" s="30" t="s">
        <v>22</v>
      </c>
      <c r="C21" s="30" t="s">
        <v>23</v>
      </c>
      <c r="D21" s="31" t="s">
        <v>77</v>
      </c>
      <c r="E21" s="30">
        <v>2</v>
      </c>
      <c r="F21" s="30" t="s">
        <v>25</v>
      </c>
      <c r="G21" s="32" t="s">
        <v>162</v>
      </c>
      <c r="H21" s="33" t="s">
        <v>42</v>
      </c>
      <c r="I21" s="34" t="s">
        <v>28</v>
      </c>
      <c r="J21" s="34" t="s">
        <v>28</v>
      </c>
      <c r="K21" s="34" t="s">
        <v>28</v>
      </c>
      <c r="L21" s="34" t="s">
        <v>28</v>
      </c>
      <c r="M21" s="34" t="s">
        <v>28</v>
      </c>
      <c r="N21" s="34" t="s">
        <v>28</v>
      </c>
      <c r="O21" s="34" t="s">
        <v>28</v>
      </c>
      <c r="P21" s="34" t="s">
        <v>28</v>
      </c>
      <c r="Q21" s="37">
        <v>8.64</v>
      </c>
      <c r="R21" s="37">
        <v>17.28</v>
      </c>
      <c r="S21" s="37">
        <f t="shared" si="5"/>
        <v>259.20000000000005</v>
      </c>
      <c r="T21" s="37">
        <f t="shared" si="5"/>
        <v>518.4000000000001</v>
      </c>
      <c r="U21" s="37">
        <f t="shared" si="4"/>
        <v>3153.6000000000004</v>
      </c>
      <c r="V21" s="37">
        <f t="shared" si="4"/>
        <v>6307.200000000001</v>
      </c>
      <c r="W21" s="30" t="s">
        <v>93</v>
      </c>
      <c r="X21" s="30" t="s">
        <v>93</v>
      </c>
      <c r="Y21" s="112" t="s">
        <v>78</v>
      </c>
    </row>
    <row r="22" spans="1:25" ht="57.75" customHeight="1" thickBot="1">
      <c r="A22"/>
      <c r="B22" s="30" t="s">
        <v>22</v>
      </c>
      <c r="C22" s="30" t="s">
        <v>23</v>
      </c>
      <c r="D22" s="31" t="s">
        <v>79</v>
      </c>
      <c r="E22" s="30">
        <v>2</v>
      </c>
      <c r="F22" s="30" t="s">
        <v>31</v>
      </c>
      <c r="G22" s="32" t="s">
        <v>80</v>
      </c>
      <c r="H22" s="33" t="s">
        <v>42</v>
      </c>
      <c r="I22" s="34" t="s">
        <v>28</v>
      </c>
      <c r="J22" s="34" t="s">
        <v>28</v>
      </c>
      <c r="K22" s="34" t="s">
        <v>28</v>
      </c>
      <c r="L22" s="34">
        <v>2.25</v>
      </c>
      <c r="M22" s="34">
        <v>24</v>
      </c>
      <c r="N22" s="34">
        <v>30</v>
      </c>
      <c r="O22" s="34">
        <v>50</v>
      </c>
      <c r="P22" s="34">
        <v>193</v>
      </c>
      <c r="Q22" s="37">
        <f>L22*O22*M22*0.0036</f>
        <v>9.719999999999999</v>
      </c>
      <c r="R22" s="37">
        <f>L22*P22*M22*0.0036</f>
        <v>37.5192</v>
      </c>
      <c r="S22" s="37">
        <f t="shared" si="5"/>
        <v>291.59999999999997</v>
      </c>
      <c r="T22" s="37">
        <f t="shared" si="5"/>
        <v>1125.576</v>
      </c>
      <c r="U22" s="37">
        <f t="shared" si="4"/>
        <v>3547.7999999999997</v>
      </c>
      <c r="V22" s="37">
        <f t="shared" si="4"/>
        <v>13694.508</v>
      </c>
      <c r="W22" s="30" t="s">
        <v>93</v>
      </c>
      <c r="X22" s="30" t="s">
        <v>93</v>
      </c>
      <c r="Y22" s="112" t="s">
        <v>132</v>
      </c>
    </row>
    <row r="23" spans="1:25" ht="57.75" customHeight="1" thickBot="1">
      <c r="A23"/>
      <c r="B23" s="30" t="s">
        <v>22</v>
      </c>
      <c r="C23" s="30" t="s">
        <v>23</v>
      </c>
      <c r="D23" s="31" t="s">
        <v>79</v>
      </c>
      <c r="E23" s="30">
        <v>2</v>
      </c>
      <c r="F23" s="30" t="s">
        <v>31</v>
      </c>
      <c r="G23" s="32" t="s">
        <v>81</v>
      </c>
      <c r="H23" s="33" t="s">
        <v>42</v>
      </c>
      <c r="I23" s="34" t="s">
        <v>28</v>
      </c>
      <c r="J23" s="34" t="s">
        <v>28</v>
      </c>
      <c r="K23" s="34" t="s">
        <v>28</v>
      </c>
      <c r="L23" s="34">
        <v>2.25</v>
      </c>
      <c r="M23" s="34">
        <v>24</v>
      </c>
      <c r="N23" s="34">
        <v>30</v>
      </c>
      <c r="O23" s="34">
        <v>50</v>
      </c>
      <c r="P23" s="34">
        <v>193</v>
      </c>
      <c r="Q23" s="37">
        <f>L23*O23*M23*0.0036</f>
        <v>9.719999999999999</v>
      </c>
      <c r="R23" s="37">
        <f>L23*P23*M23*0.0036</f>
        <v>37.5192</v>
      </c>
      <c r="S23" s="37">
        <f t="shared" si="5"/>
        <v>291.59999999999997</v>
      </c>
      <c r="T23" s="37">
        <f t="shared" si="5"/>
        <v>1125.576</v>
      </c>
      <c r="U23" s="37">
        <f t="shared" si="4"/>
        <v>3547.7999999999997</v>
      </c>
      <c r="V23" s="37">
        <f t="shared" si="4"/>
        <v>13694.508</v>
      </c>
      <c r="W23" s="30" t="s">
        <v>93</v>
      </c>
      <c r="X23" s="30" t="s">
        <v>93</v>
      </c>
      <c r="Y23" s="112" t="s">
        <v>132</v>
      </c>
    </row>
    <row r="24" spans="1:25" ht="57.75" customHeight="1" thickBot="1">
      <c r="A24"/>
      <c r="B24" s="30" t="s">
        <v>22</v>
      </c>
      <c r="C24" s="30" t="s">
        <v>23</v>
      </c>
      <c r="D24" s="31" t="s">
        <v>33</v>
      </c>
      <c r="E24" s="30">
        <v>2</v>
      </c>
      <c r="F24" s="30" t="s">
        <v>31</v>
      </c>
      <c r="G24" s="32" t="s">
        <v>82</v>
      </c>
      <c r="H24" s="33" t="s">
        <v>42</v>
      </c>
      <c r="I24" s="34" t="s">
        <v>28</v>
      </c>
      <c r="J24" s="34" t="s">
        <v>28</v>
      </c>
      <c r="K24" s="34" t="s">
        <v>28</v>
      </c>
      <c r="L24" s="34">
        <v>10</v>
      </c>
      <c r="M24" s="34">
        <v>24</v>
      </c>
      <c r="N24" s="34">
        <v>30</v>
      </c>
      <c r="O24" s="34">
        <v>50</v>
      </c>
      <c r="P24" s="34">
        <v>50</v>
      </c>
      <c r="Q24" s="37">
        <f>L24*O24*M24*0.0036</f>
        <v>43.199999999999996</v>
      </c>
      <c r="R24" s="37">
        <f>L24*P24*M24*0.0036</f>
        <v>43.199999999999996</v>
      </c>
      <c r="S24" s="37">
        <f t="shared" si="5"/>
        <v>1295.9999999999998</v>
      </c>
      <c r="T24" s="37">
        <f t="shared" si="5"/>
        <v>1295.9999999999998</v>
      </c>
      <c r="U24" s="37">
        <f t="shared" si="4"/>
        <v>15767.999999999998</v>
      </c>
      <c r="V24" s="37">
        <f t="shared" si="4"/>
        <v>15767.999999999998</v>
      </c>
      <c r="W24" s="30" t="s">
        <v>93</v>
      </c>
      <c r="X24" s="30" t="s">
        <v>93</v>
      </c>
      <c r="Y24" s="112" t="s">
        <v>135</v>
      </c>
    </row>
    <row r="25" spans="1:25" ht="57.75" customHeight="1" thickBot="1">
      <c r="A25"/>
      <c r="B25" s="30" t="s">
        <v>22</v>
      </c>
      <c r="C25" s="30" t="s">
        <v>23</v>
      </c>
      <c r="D25" s="31" t="s">
        <v>83</v>
      </c>
      <c r="E25" s="30">
        <v>2</v>
      </c>
      <c r="F25" s="30" t="s">
        <v>25</v>
      </c>
      <c r="G25" s="32" t="s">
        <v>84</v>
      </c>
      <c r="H25" s="33" t="s">
        <v>42</v>
      </c>
      <c r="I25" s="34" t="s">
        <v>28</v>
      </c>
      <c r="J25" s="34" t="s">
        <v>28</v>
      </c>
      <c r="K25" s="34" t="s">
        <v>28</v>
      </c>
      <c r="L25" s="34">
        <v>10</v>
      </c>
      <c r="M25" s="34">
        <v>24</v>
      </c>
      <c r="N25" s="34">
        <v>30</v>
      </c>
      <c r="O25" s="34">
        <v>50</v>
      </c>
      <c r="P25" s="34">
        <v>50</v>
      </c>
      <c r="Q25" s="37">
        <f>L25*O25*M25*0.0036</f>
        <v>43.199999999999996</v>
      </c>
      <c r="R25" s="37">
        <f>L25*P25*M25*0.0036</f>
        <v>43.199999999999996</v>
      </c>
      <c r="S25" s="37">
        <f t="shared" si="5"/>
        <v>1295.9999999999998</v>
      </c>
      <c r="T25" s="37">
        <f t="shared" si="5"/>
        <v>1295.9999999999998</v>
      </c>
      <c r="U25" s="37">
        <f t="shared" si="4"/>
        <v>15767.999999999998</v>
      </c>
      <c r="V25" s="37">
        <f t="shared" si="4"/>
        <v>15767.999999999998</v>
      </c>
      <c r="W25" s="30" t="s">
        <v>93</v>
      </c>
      <c r="X25" s="30" t="s">
        <v>93</v>
      </c>
      <c r="Y25" s="40" t="s">
        <v>136</v>
      </c>
    </row>
    <row r="26" spans="1:25" ht="26.45" customHeight="1" thickBot="1">
      <c r="A26"/>
      <c r="B26" s="204" t="s">
        <v>119</v>
      </c>
      <c r="C26" s="205"/>
      <c r="D26" s="205"/>
      <c r="E26" s="205"/>
      <c r="F26" s="205"/>
      <c r="G26" s="205"/>
      <c r="H26" s="205"/>
      <c r="I26" s="205"/>
      <c r="J26" s="205"/>
      <c r="K26" s="205"/>
      <c r="L26" s="205"/>
      <c r="M26" s="205"/>
      <c r="N26" s="205"/>
      <c r="O26" s="205"/>
      <c r="P26" s="205"/>
      <c r="Q26" s="205"/>
      <c r="R26" s="205"/>
      <c r="S26" s="205"/>
      <c r="T26" s="206"/>
      <c r="U26" s="103">
        <f>SUM(U10:U25)</f>
        <v>256846.2076</v>
      </c>
      <c r="V26" s="103">
        <f>SUM(V10:V25)</f>
        <v>330400.68639999995</v>
      </c>
      <c r="W26" s="104" t="s">
        <v>93</v>
      </c>
      <c r="X26" s="104" t="s">
        <v>93</v>
      </c>
      <c r="Y26" s="40"/>
    </row>
    <row r="27" spans="2:25" ht="31.5" thickBot="1">
      <c r="B27" s="199" t="s">
        <v>96</v>
      </c>
      <c r="C27" s="199"/>
      <c r="D27" s="199"/>
      <c r="E27" s="199"/>
      <c r="F27" s="199"/>
      <c r="G27" s="199"/>
      <c r="H27" s="199"/>
      <c r="I27" s="199"/>
      <c r="J27" s="199"/>
      <c r="K27" s="199"/>
      <c r="L27" s="199"/>
      <c r="M27" s="199"/>
      <c r="N27" s="199"/>
      <c r="O27" s="199"/>
      <c r="P27" s="199"/>
      <c r="Q27" s="199"/>
      <c r="R27" s="199"/>
      <c r="S27" s="199"/>
      <c r="T27" s="199"/>
      <c r="U27" s="199"/>
      <c r="V27" s="199"/>
      <c r="W27" s="199"/>
      <c r="X27" s="199"/>
      <c r="Y27" s="200"/>
    </row>
    <row r="28" spans="2:25" ht="23.45" customHeight="1" thickBot="1">
      <c r="B28" s="176" t="s">
        <v>88</v>
      </c>
      <c r="C28" s="177"/>
      <c r="D28" s="177"/>
      <c r="E28" s="177"/>
      <c r="F28" s="177"/>
      <c r="G28" s="177"/>
      <c r="H28" s="177"/>
      <c r="I28" s="177"/>
      <c r="J28" s="177"/>
      <c r="K28" s="177"/>
      <c r="L28" s="177"/>
      <c r="M28" s="177"/>
      <c r="N28" s="177"/>
      <c r="O28" s="177"/>
      <c r="P28" s="177"/>
      <c r="Q28" s="177"/>
      <c r="R28" s="177"/>
      <c r="S28" s="177"/>
      <c r="T28" s="177"/>
      <c r="U28" s="177"/>
      <c r="V28" s="222"/>
      <c r="W28" s="222"/>
      <c r="X28" s="223"/>
      <c r="Y28" s="5"/>
    </row>
    <row r="29" spans="1:25" ht="57.75" customHeight="1" thickBot="1">
      <c r="A29"/>
      <c r="B29" s="63" t="s">
        <v>22</v>
      </c>
      <c r="C29" s="63" t="s">
        <v>23</v>
      </c>
      <c r="D29" s="64" t="s">
        <v>54</v>
      </c>
      <c r="E29" s="63">
        <v>2</v>
      </c>
      <c r="F29" s="63" t="s">
        <v>31</v>
      </c>
      <c r="G29" s="65" t="s">
        <v>55</v>
      </c>
      <c r="H29" s="66" t="s">
        <v>27</v>
      </c>
      <c r="I29" s="67">
        <v>551</v>
      </c>
      <c r="J29" s="68">
        <v>0.05</v>
      </c>
      <c r="K29" s="68">
        <v>0.05</v>
      </c>
      <c r="L29" s="68" t="s">
        <v>56</v>
      </c>
      <c r="M29" s="68" t="s">
        <v>56</v>
      </c>
      <c r="N29" s="117" t="s">
        <v>56</v>
      </c>
      <c r="O29" s="68" t="s">
        <v>56</v>
      </c>
      <c r="P29" s="68" t="s">
        <v>56</v>
      </c>
      <c r="Q29" s="70">
        <f aca="true" t="shared" si="6" ref="Q29:Q34">I29*J29</f>
        <v>27.55</v>
      </c>
      <c r="R29" s="70">
        <f aca="true" t="shared" si="7" ref="R29:R34">I29*K29</f>
        <v>27.55</v>
      </c>
      <c r="S29" s="71">
        <f>Q29*30</f>
        <v>826.5</v>
      </c>
      <c r="T29" s="71">
        <f>R29*30</f>
        <v>826.5</v>
      </c>
      <c r="U29" s="70">
        <f>Q29*365</f>
        <v>10055.75</v>
      </c>
      <c r="V29" s="70">
        <f>R29*365</f>
        <v>10055.75</v>
      </c>
      <c r="W29" s="70">
        <f aca="true" t="shared" si="8" ref="W29:X32">U29</f>
        <v>10055.75</v>
      </c>
      <c r="X29" s="70">
        <f t="shared" si="8"/>
        <v>10055.75</v>
      </c>
      <c r="Y29" s="8" t="s">
        <v>105</v>
      </c>
    </row>
    <row r="30" spans="1:25" ht="57.75" customHeight="1" thickBot="1">
      <c r="A30"/>
      <c r="B30" s="63" t="s">
        <v>22</v>
      </c>
      <c r="C30" s="63" t="s">
        <v>23</v>
      </c>
      <c r="D30" s="64" t="s">
        <v>57</v>
      </c>
      <c r="E30" s="63">
        <v>2</v>
      </c>
      <c r="F30" s="63" t="s">
        <v>25</v>
      </c>
      <c r="G30" s="65" t="s">
        <v>58</v>
      </c>
      <c r="H30" s="66" t="s">
        <v>27</v>
      </c>
      <c r="I30" s="68">
        <v>4915</v>
      </c>
      <c r="J30" s="68">
        <v>0.05</v>
      </c>
      <c r="K30" s="69">
        <v>0.05</v>
      </c>
      <c r="L30" s="68" t="s">
        <v>56</v>
      </c>
      <c r="M30" s="68" t="s">
        <v>56</v>
      </c>
      <c r="N30" s="68" t="s">
        <v>56</v>
      </c>
      <c r="O30" s="68" t="s">
        <v>56</v>
      </c>
      <c r="P30" s="68" t="s">
        <v>56</v>
      </c>
      <c r="Q30" s="70">
        <f t="shared" si="6"/>
        <v>245.75</v>
      </c>
      <c r="R30" s="70">
        <f t="shared" si="7"/>
        <v>245.75</v>
      </c>
      <c r="S30" s="71">
        <f aca="true" t="shared" si="9" ref="S30:T35">Q30*30</f>
        <v>7372.5</v>
      </c>
      <c r="T30" s="71">
        <f t="shared" si="9"/>
        <v>7372.5</v>
      </c>
      <c r="U30" s="70">
        <f aca="true" t="shared" si="10" ref="U30:V35">Q30*365</f>
        <v>89698.75</v>
      </c>
      <c r="V30" s="70">
        <f t="shared" si="10"/>
        <v>89698.75</v>
      </c>
      <c r="W30" s="70">
        <f>U30*0.4</f>
        <v>35879.5</v>
      </c>
      <c r="X30" s="70">
        <f>V30*0.4</f>
        <v>35879.5</v>
      </c>
      <c r="Y30" s="8" t="s">
        <v>158</v>
      </c>
    </row>
    <row r="31" spans="1:25" ht="57.75" customHeight="1" thickBot="1">
      <c r="A31"/>
      <c r="B31" s="63" t="s">
        <v>22</v>
      </c>
      <c r="C31" s="63" t="s">
        <v>23</v>
      </c>
      <c r="D31" s="64" t="s">
        <v>59</v>
      </c>
      <c r="E31" s="63">
        <v>2</v>
      </c>
      <c r="F31" s="63" t="s">
        <v>25</v>
      </c>
      <c r="G31" s="65" t="s">
        <v>60</v>
      </c>
      <c r="H31" s="66" t="s">
        <v>27</v>
      </c>
      <c r="I31" s="68">
        <v>2372</v>
      </c>
      <c r="J31" s="68">
        <v>0.05</v>
      </c>
      <c r="K31" s="69">
        <v>0.05</v>
      </c>
      <c r="L31" s="68" t="s">
        <v>56</v>
      </c>
      <c r="M31" s="68" t="s">
        <v>56</v>
      </c>
      <c r="N31" s="117" t="s">
        <v>56</v>
      </c>
      <c r="O31" s="68" t="s">
        <v>56</v>
      </c>
      <c r="P31" s="68" t="s">
        <v>56</v>
      </c>
      <c r="Q31" s="70">
        <f t="shared" si="6"/>
        <v>118.60000000000001</v>
      </c>
      <c r="R31" s="70">
        <f t="shared" si="7"/>
        <v>118.60000000000001</v>
      </c>
      <c r="S31" s="71">
        <f t="shared" si="9"/>
        <v>3558.0000000000005</v>
      </c>
      <c r="T31" s="71">
        <f t="shared" si="9"/>
        <v>3558.0000000000005</v>
      </c>
      <c r="U31" s="72">
        <f t="shared" si="10"/>
        <v>43289</v>
      </c>
      <c r="V31" s="71">
        <f t="shared" si="10"/>
        <v>43289</v>
      </c>
      <c r="W31" s="70">
        <f>U31</f>
        <v>43289</v>
      </c>
      <c r="X31" s="70">
        <f>V31</f>
        <v>43289</v>
      </c>
      <c r="Y31" s="8" t="s">
        <v>122</v>
      </c>
    </row>
    <row r="32" spans="1:25" ht="57.75" customHeight="1" thickBot="1">
      <c r="A32"/>
      <c r="B32" s="63" t="s">
        <v>22</v>
      </c>
      <c r="C32" s="63" t="s">
        <v>23</v>
      </c>
      <c r="D32" s="64" t="s">
        <v>61</v>
      </c>
      <c r="E32" s="63">
        <v>2</v>
      </c>
      <c r="F32" s="63" t="s">
        <v>31</v>
      </c>
      <c r="G32" s="65" t="s">
        <v>62</v>
      </c>
      <c r="H32" s="66" t="s">
        <v>27</v>
      </c>
      <c r="I32" s="68">
        <v>786</v>
      </c>
      <c r="J32" s="68">
        <v>0.05</v>
      </c>
      <c r="K32" s="69">
        <v>0.05</v>
      </c>
      <c r="L32" s="68" t="s">
        <v>28</v>
      </c>
      <c r="M32" s="68" t="s">
        <v>28</v>
      </c>
      <c r="N32" s="68" t="s">
        <v>28</v>
      </c>
      <c r="O32" s="68" t="s">
        <v>28</v>
      </c>
      <c r="P32" s="68" t="s">
        <v>28</v>
      </c>
      <c r="Q32" s="71">
        <f t="shared" si="6"/>
        <v>39.300000000000004</v>
      </c>
      <c r="R32" s="71">
        <f t="shared" si="7"/>
        <v>39.300000000000004</v>
      </c>
      <c r="S32" s="71">
        <f t="shared" si="9"/>
        <v>1179.0000000000002</v>
      </c>
      <c r="T32" s="71">
        <f t="shared" si="9"/>
        <v>1179.0000000000002</v>
      </c>
      <c r="U32" s="72">
        <f t="shared" si="10"/>
        <v>14344.500000000002</v>
      </c>
      <c r="V32" s="71">
        <f t="shared" si="10"/>
        <v>14344.500000000002</v>
      </c>
      <c r="W32" s="70">
        <f t="shared" si="8"/>
        <v>14344.500000000002</v>
      </c>
      <c r="X32" s="70">
        <f t="shared" si="8"/>
        <v>14344.500000000002</v>
      </c>
      <c r="Y32" s="8" t="s">
        <v>63</v>
      </c>
    </row>
    <row r="33" spans="1:25" s="20" customFormat="1" ht="57.75" customHeight="1" thickBot="1">
      <c r="A33" s="101"/>
      <c r="B33" s="63" t="s">
        <v>22</v>
      </c>
      <c r="C33" s="63" t="s">
        <v>23</v>
      </c>
      <c r="D33" s="64" t="s">
        <v>64</v>
      </c>
      <c r="E33" s="63">
        <v>2</v>
      </c>
      <c r="F33" s="63" t="s">
        <v>25</v>
      </c>
      <c r="G33" s="65" t="s">
        <v>65</v>
      </c>
      <c r="H33" s="66" t="s">
        <v>27</v>
      </c>
      <c r="I33" s="68">
        <v>322</v>
      </c>
      <c r="J33" s="68">
        <v>0.05</v>
      </c>
      <c r="K33" s="69">
        <v>0.05</v>
      </c>
      <c r="L33" s="68" t="s">
        <v>28</v>
      </c>
      <c r="M33" s="68" t="s">
        <v>28</v>
      </c>
      <c r="N33" s="68" t="s">
        <v>28</v>
      </c>
      <c r="O33" s="68" t="s">
        <v>28</v>
      </c>
      <c r="P33" s="68" t="s">
        <v>28</v>
      </c>
      <c r="Q33" s="70">
        <f t="shared" si="6"/>
        <v>16.1</v>
      </c>
      <c r="R33" s="70">
        <f t="shared" si="7"/>
        <v>16.1</v>
      </c>
      <c r="S33" s="71">
        <f t="shared" si="9"/>
        <v>483.00000000000006</v>
      </c>
      <c r="T33" s="71">
        <f t="shared" si="9"/>
        <v>483.00000000000006</v>
      </c>
      <c r="U33" s="72">
        <f t="shared" si="10"/>
        <v>5876.500000000001</v>
      </c>
      <c r="V33" s="71">
        <f t="shared" si="10"/>
        <v>5876.500000000001</v>
      </c>
      <c r="W33" s="70">
        <f>U33*0.15</f>
        <v>881.4750000000001</v>
      </c>
      <c r="X33" s="70">
        <f>V33*0.15</f>
        <v>881.4750000000001</v>
      </c>
      <c r="Y33" s="102" t="s">
        <v>164</v>
      </c>
    </row>
    <row r="34" spans="1:25" ht="57.75" customHeight="1" thickBot="1">
      <c r="A34"/>
      <c r="B34" s="63" t="s">
        <v>22</v>
      </c>
      <c r="C34" s="63" t="s">
        <v>23</v>
      </c>
      <c r="D34" s="64" t="s">
        <v>66</v>
      </c>
      <c r="E34" s="63">
        <v>2</v>
      </c>
      <c r="F34" s="63" t="s">
        <v>31</v>
      </c>
      <c r="G34" s="65" t="s">
        <v>67</v>
      </c>
      <c r="H34" s="66" t="s">
        <v>27</v>
      </c>
      <c r="I34" s="68">
        <v>374</v>
      </c>
      <c r="J34" s="68">
        <v>0.05</v>
      </c>
      <c r="K34" s="69">
        <v>0.05</v>
      </c>
      <c r="L34" s="68" t="s">
        <v>28</v>
      </c>
      <c r="M34" s="68" t="s">
        <v>28</v>
      </c>
      <c r="N34" s="68" t="s">
        <v>28</v>
      </c>
      <c r="O34" s="68" t="s">
        <v>28</v>
      </c>
      <c r="P34" s="68" t="s">
        <v>28</v>
      </c>
      <c r="Q34" s="70">
        <f t="shared" si="6"/>
        <v>18.7</v>
      </c>
      <c r="R34" s="70">
        <f t="shared" si="7"/>
        <v>18.7</v>
      </c>
      <c r="S34" s="71">
        <f t="shared" si="9"/>
        <v>561</v>
      </c>
      <c r="T34" s="71">
        <f t="shared" si="9"/>
        <v>561</v>
      </c>
      <c r="U34" s="72">
        <f t="shared" si="10"/>
        <v>6825.5</v>
      </c>
      <c r="V34" s="71">
        <f t="shared" si="10"/>
        <v>6825.5</v>
      </c>
      <c r="W34" s="70">
        <f>U34*0.5</f>
        <v>3412.75</v>
      </c>
      <c r="X34" s="70">
        <f>V34*0.5</f>
        <v>3412.75</v>
      </c>
      <c r="Y34" s="8" t="s">
        <v>123</v>
      </c>
    </row>
    <row r="35" spans="1:25" ht="57.75" customHeight="1" thickBot="1">
      <c r="A35"/>
      <c r="B35" s="63" t="s">
        <v>22</v>
      </c>
      <c r="C35" s="63" t="s">
        <v>23</v>
      </c>
      <c r="D35" s="64" t="s">
        <v>57</v>
      </c>
      <c r="E35" s="63">
        <v>2</v>
      </c>
      <c r="F35" s="63" t="s">
        <v>31</v>
      </c>
      <c r="G35" s="65" t="s">
        <v>69</v>
      </c>
      <c r="H35" s="68" t="s">
        <v>144</v>
      </c>
      <c r="I35" s="68">
        <v>618</v>
      </c>
      <c r="J35" s="68" t="s">
        <v>28</v>
      </c>
      <c r="K35" s="68" t="s">
        <v>28</v>
      </c>
      <c r="L35" s="68" t="s">
        <v>28</v>
      </c>
      <c r="M35" s="68" t="s">
        <v>28</v>
      </c>
      <c r="N35" s="68" t="s">
        <v>28</v>
      </c>
      <c r="O35" s="68" t="s">
        <v>28</v>
      </c>
      <c r="P35" s="68" t="s">
        <v>28</v>
      </c>
      <c r="Q35" s="68">
        <v>9.29</v>
      </c>
      <c r="R35" s="70">
        <v>4.75</v>
      </c>
      <c r="S35" s="71">
        <f t="shared" si="9"/>
        <v>278.7</v>
      </c>
      <c r="T35" s="71">
        <f t="shared" si="9"/>
        <v>142.5</v>
      </c>
      <c r="U35" s="72">
        <f t="shared" si="10"/>
        <v>3390.85</v>
      </c>
      <c r="V35" s="71">
        <f t="shared" si="10"/>
        <v>1733.75</v>
      </c>
      <c r="W35" s="70">
        <f>U35</f>
        <v>3390.85</v>
      </c>
      <c r="X35" s="70">
        <f>V35</f>
        <v>1733.75</v>
      </c>
      <c r="Y35" s="8" t="s">
        <v>126</v>
      </c>
    </row>
    <row r="36" spans="1:25" ht="21.6" customHeight="1" thickBot="1">
      <c r="A36"/>
      <c r="B36" s="176" t="s">
        <v>39</v>
      </c>
      <c r="C36" s="177"/>
      <c r="D36" s="177"/>
      <c r="E36" s="177"/>
      <c r="F36" s="177"/>
      <c r="G36" s="177"/>
      <c r="H36" s="177"/>
      <c r="I36" s="177"/>
      <c r="J36" s="177"/>
      <c r="K36" s="177"/>
      <c r="L36" s="177"/>
      <c r="M36" s="177"/>
      <c r="N36" s="177"/>
      <c r="O36" s="177"/>
      <c r="P36" s="177"/>
      <c r="Q36" s="177"/>
      <c r="R36" s="177"/>
      <c r="S36" s="177"/>
      <c r="T36" s="177"/>
      <c r="U36" s="177"/>
      <c r="V36" s="220"/>
      <c r="W36" s="118"/>
      <c r="X36" s="119"/>
      <c r="Y36" s="1"/>
    </row>
    <row r="37" spans="1:25" ht="57.75" customHeight="1" thickBot="1">
      <c r="A37"/>
      <c r="B37" s="63" t="s">
        <v>22</v>
      </c>
      <c r="C37" s="63" t="s">
        <v>23</v>
      </c>
      <c r="D37" s="64" t="s">
        <v>57</v>
      </c>
      <c r="E37" s="63">
        <v>2</v>
      </c>
      <c r="F37" s="120" t="s">
        <v>25</v>
      </c>
      <c r="G37" s="65" t="s">
        <v>70</v>
      </c>
      <c r="H37" s="66" t="s">
        <v>42</v>
      </c>
      <c r="I37" s="67" t="s">
        <v>28</v>
      </c>
      <c r="J37" s="67" t="s">
        <v>28</v>
      </c>
      <c r="K37" s="67" t="s">
        <v>28</v>
      </c>
      <c r="L37" s="67">
        <v>0.28</v>
      </c>
      <c r="M37" s="67">
        <v>8</v>
      </c>
      <c r="N37" s="67">
        <v>24</v>
      </c>
      <c r="O37" s="67">
        <v>2185</v>
      </c>
      <c r="P37" s="67">
        <v>390</v>
      </c>
      <c r="Q37" s="70">
        <f>L37*O37*0.0036*M37</f>
        <v>17.61984</v>
      </c>
      <c r="R37" s="70">
        <f>L37*P37*0.0036*M37</f>
        <v>3.14496</v>
      </c>
      <c r="S37" s="70">
        <f>Q37*N37</f>
        <v>422.87616</v>
      </c>
      <c r="T37" s="70">
        <f>R37*N37</f>
        <v>75.47904</v>
      </c>
      <c r="U37" s="70">
        <f aca="true" t="shared" si="11" ref="U37">Q37*365</f>
        <v>6431.2416</v>
      </c>
      <c r="V37" s="70">
        <f aca="true" t="shared" si="12" ref="V37">R37*365</f>
        <v>1147.9104</v>
      </c>
      <c r="W37" s="70">
        <v>1254.092112</v>
      </c>
      <c r="X37" s="70">
        <v>624.4632576</v>
      </c>
      <c r="Y37" s="8" t="s">
        <v>130</v>
      </c>
    </row>
    <row r="38" spans="1:25" ht="57.75" customHeight="1" thickBot="1">
      <c r="A38"/>
      <c r="B38" s="63" t="s">
        <v>22</v>
      </c>
      <c r="C38" s="63" t="s">
        <v>23</v>
      </c>
      <c r="D38" s="64" t="s">
        <v>71</v>
      </c>
      <c r="E38" s="63">
        <v>2</v>
      </c>
      <c r="F38" s="121" t="s">
        <v>25</v>
      </c>
      <c r="G38" s="65" t="s">
        <v>72</v>
      </c>
      <c r="H38" s="66" t="s">
        <v>42</v>
      </c>
      <c r="I38" s="67" t="s">
        <v>28</v>
      </c>
      <c r="J38" s="67" t="s">
        <v>28</v>
      </c>
      <c r="K38" s="67" t="s">
        <v>28</v>
      </c>
      <c r="L38" s="67" t="s">
        <v>28</v>
      </c>
      <c r="M38" s="67" t="s">
        <v>28</v>
      </c>
      <c r="N38" s="67" t="s">
        <v>28</v>
      </c>
      <c r="O38" s="67" t="s">
        <v>28</v>
      </c>
      <c r="P38" s="67" t="s">
        <v>28</v>
      </c>
      <c r="Q38" s="70">
        <v>96.88</v>
      </c>
      <c r="R38" s="70">
        <v>175.04</v>
      </c>
      <c r="S38" s="70">
        <f aca="true" t="shared" si="13" ref="S38:T44">Q38*30</f>
        <v>2906.3999999999996</v>
      </c>
      <c r="T38" s="70">
        <f t="shared" si="13"/>
        <v>5251.2</v>
      </c>
      <c r="U38" s="70">
        <f aca="true" t="shared" si="14" ref="U38:V44">Q38*365</f>
        <v>35361.2</v>
      </c>
      <c r="V38" s="70">
        <f t="shared" si="14"/>
        <v>63889.6</v>
      </c>
      <c r="W38" s="70">
        <f aca="true" t="shared" si="15" ref="W38:W43">U38</f>
        <v>35361.2</v>
      </c>
      <c r="X38" s="70">
        <f>V38*0.65</f>
        <v>41528.24</v>
      </c>
      <c r="Y38" s="8" t="s">
        <v>73</v>
      </c>
    </row>
    <row r="39" spans="1:25" ht="57.75" customHeight="1" thickBot="1">
      <c r="A39"/>
      <c r="B39" s="63" t="s">
        <v>22</v>
      </c>
      <c r="C39" s="63" t="s">
        <v>23</v>
      </c>
      <c r="D39" s="64" t="s">
        <v>74</v>
      </c>
      <c r="E39" s="63">
        <v>2</v>
      </c>
      <c r="F39" s="63" t="s">
        <v>25</v>
      </c>
      <c r="G39" s="65" t="s">
        <v>75</v>
      </c>
      <c r="H39" s="66" t="s">
        <v>42</v>
      </c>
      <c r="I39" s="67" t="s">
        <v>28</v>
      </c>
      <c r="J39" s="67" t="s">
        <v>28</v>
      </c>
      <c r="K39" s="67" t="s">
        <v>28</v>
      </c>
      <c r="L39" s="67">
        <v>8</v>
      </c>
      <c r="M39" s="67">
        <v>24</v>
      </c>
      <c r="N39" s="67">
        <v>30</v>
      </c>
      <c r="O39" s="67">
        <v>7</v>
      </c>
      <c r="P39" s="67">
        <v>120</v>
      </c>
      <c r="Q39" s="70">
        <f>L39*O39*M39*0.0036</f>
        <v>4.8384</v>
      </c>
      <c r="R39" s="70">
        <f>L39*P39*M39*0.0036</f>
        <v>82.944</v>
      </c>
      <c r="S39" s="70">
        <f t="shared" si="13"/>
        <v>145.152</v>
      </c>
      <c r="T39" s="70">
        <f t="shared" si="13"/>
        <v>2488.32</v>
      </c>
      <c r="U39" s="70">
        <f t="shared" si="14"/>
        <v>1766.016</v>
      </c>
      <c r="V39" s="70">
        <f t="shared" si="14"/>
        <v>30274.56</v>
      </c>
      <c r="W39" s="70">
        <f t="shared" si="15"/>
        <v>1766.016</v>
      </c>
      <c r="X39" s="70">
        <f>V39*0.42</f>
        <v>12715.315200000001</v>
      </c>
      <c r="Y39" s="8" t="s">
        <v>129</v>
      </c>
    </row>
    <row r="40" spans="1:25" ht="57.75" customHeight="1" thickBot="1">
      <c r="A40"/>
      <c r="B40" s="63" t="s">
        <v>22</v>
      </c>
      <c r="C40" s="63" t="s">
        <v>23</v>
      </c>
      <c r="D40" s="64" t="s">
        <v>77</v>
      </c>
      <c r="E40" s="63">
        <v>2</v>
      </c>
      <c r="F40" s="63" t="s">
        <v>25</v>
      </c>
      <c r="G40" s="65" t="s">
        <v>162</v>
      </c>
      <c r="H40" s="66" t="s">
        <v>42</v>
      </c>
      <c r="I40" s="67" t="s">
        <v>28</v>
      </c>
      <c r="J40" s="67" t="s">
        <v>28</v>
      </c>
      <c r="K40" s="67" t="s">
        <v>28</v>
      </c>
      <c r="L40" s="67" t="s">
        <v>28</v>
      </c>
      <c r="M40" s="67" t="s">
        <v>28</v>
      </c>
      <c r="N40" s="67" t="s">
        <v>28</v>
      </c>
      <c r="O40" s="67" t="s">
        <v>28</v>
      </c>
      <c r="P40" s="67" t="s">
        <v>28</v>
      </c>
      <c r="Q40" s="70">
        <v>8.64</v>
      </c>
      <c r="R40" s="70">
        <v>8.64</v>
      </c>
      <c r="S40" s="70">
        <f t="shared" si="13"/>
        <v>259.20000000000005</v>
      </c>
      <c r="T40" s="70">
        <f t="shared" si="13"/>
        <v>259.20000000000005</v>
      </c>
      <c r="U40" s="70">
        <f t="shared" si="14"/>
        <v>3153.6000000000004</v>
      </c>
      <c r="V40" s="70">
        <f t="shared" si="14"/>
        <v>3153.6000000000004</v>
      </c>
      <c r="W40" s="70">
        <f t="shared" si="15"/>
        <v>3153.6000000000004</v>
      </c>
      <c r="X40" s="70">
        <f>V40</f>
        <v>3153.6000000000004</v>
      </c>
      <c r="Y40" s="8" t="s">
        <v>131</v>
      </c>
    </row>
    <row r="41" spans="1:25" ht="57.75" customHeight="1" thickBot="1">
      <c r="A41"/>
      <c r="B41" s="63" t="s">
        <v>22</v>
      </c>
      <c r="C41" s="63" t="s">
        <v>23</v>
      </c>
      <c r="D41" s="64" t="s">
        <v>79</v>
      </c>
      <c r="E41" s="63">
        <v>2</v>
      </c>
      <c r="F41" s="63" t="s">
        <v>31</v>
      </c>
      <c r="G41" s="65" t="s">
        <v>80</v>
      </c>
      <c r="H41" s="66" t="s">
        <v>42</v>
      </c>
      <c r="I41" s="67" t="s">
        <v>28</v>
      </c>
      <c r="J41" s="67" t="s">
        <v>28</v>
      </c>
      <c r="K41" s="67" t="s">
        <v>28</v>
      </c>
      <c r="L41" s="67">
        <v>2.25</v>
      </c>
      <c r="M41" s="67">
        <v>24</v>
      </c>
      <c r="N41" s="67">
        <v>30</v>
      </c>
      <c r="O41" s="67">
        <v>50</v>
      </c>
      <c r="P41" s="67">
        <v>193</v>
      </c>
      <c r="Q41" s="70">
        <f>L41*O41*M41*0.0036</f>
        <v>9.719999999999999</v>
      </c>
      <c r="R41" s="70">
        <f>L41*P41*M41*0.0036</f>
        <v>37.5192</v>
      </c>
      <c r="S41" s="70">
        <f t="shared" si="13"/>
        <v>291.59999999999997</v>
      </c>
      <c r="T41" s="70">
        <f t="shared" si="13"/>
        <v>1125.576</v>
      </c>
      <c r="U41" s="70">
        <f t="shared" si="14"/>
        <v>3547.7999999999997</v>
      </c>
      <c r="V41" s="70">
        <f t="shared" si="14"/>
        <v>13694.508</v>
      </c>
      <c r="W41" s="70">
        <v>2838.24</v>
      </c>
      <c r="X41" s="70">
        <v>3560.57208</v>
      </c>
      <c r="Y41" s="8" t="s">
        <v>133</v>
      </c>
    </row>
    <row r="42" spans="1:25" ht="57.75" customHeight="1" thickBot="1">
      <c r="A42"/>
      <c r="B42" s="63" t="s">
        <v>22</v>
      </c>
      <c r="C42" s="63" t="s">
        <v>23</v>
      </c>
      <c r="D42" s="64" t="s">
        <v>79</v>
      </c>
      <c r="E42" s="63">
        <v>2</v>
      </c>
      <c r="F42" s="63" t="s">
        <v>31</v>
      </c>
      <c r="G42" s="65" t="s">
        <v>81</v>
      </c>
      <c r="H42" s="66" t="s">
        <v>42</v>
      </c>
      <c r="I42" s="67" t="s">
        <v>28</v>
      </c>
      <c r="J42" s="67" t="s">
        <v>28</v>
      </c>
      <c r="K42" s="67" t="s">
        <v>28</v>
      </c>
      <c r="L42" s="67">
        <v>2.25</v>
      </c>
      <c r="M42" s="67">
        <v>24</v>
      </c>
      <c r="N42" s="67">
        <v>30</v>
      </c>
      <c r="O42" s="67">
        <v>50</v>
      </c>
      <c r="P42" s="67">
        <v>193</v>
      </c>
      <c r="Q42" s="70">
        <f>L42*O42*M42*0.0036</f>
        <v>9.719999999999999</v>
      </c>
      <c r="R42" s="70">
        <f>L42*P42*M42*0.0036</f>
        <v>37.5192</v>
      </c>
      <c r="S42" s="70">
        <f aca="true" t="shared" si="16" ref="S42">Q42*30</f>
        <v>291.59999999999997</v>
      </c>
      <c r="T42" s="70">
        <f aca="true" t="shared" si="17" ref="T42">R42*30</f>
        <v>1125.576</v>
      </c>
      <c r="U42" s="70">
        <f aca="true" t="shared" si="18" ref="U42">Q42*365</f>
        <v>3547.7999999999997</v>
      </c>
      <c r="V42" s="70">
        <f aca="true" t="shared" si="19" ref="V42">R42*365</f>
        <v>13694.508</v>
      </c>
      <c r="W42" s="70">
        <v>2838.24</v>
      </c>
      <c r="X42" s="70">
        <v>3560.57208</v>
      </c>
      <c r="Y42" s="8" t="s">
        <v>134</v>
      </c>
    </row>
    <row r="43" spans="1:25" ht="57.75" customHeight="1" thickBot="1">
      <c r="A43"/>
      <c r="B43" s="63" t="s">
        <v>22</v>
      </c>
      <c r="C43" s="63" t="s">
        <v>23</v>
      </c>
      <c r="D43" s="64" t="s">
        <v>33</v>
      </c>
      <c r="E43" s="63">
        <v>2</v>
      </c>
      <c r="F43" s="63" t="s">
        <v>31</v>
      </c>
      <c r="G43" s="65" t="s">
        <v>82</v>
      </c>
      <c r="H43" s="66" t="s">
        <v>42</v>
      </c>
      <c r="I43" s="67" t="s">
        <v>28</v>
      </c>
      <c r="J43" s="67" t="s">
        <v>28</v>
      </c>
      <c r="K43" s="67" t="s">
        <v>28</v>
      </c>
      <c r="L43" s="67">
        <v>10</v>
      </c>
      <c r="M43" s="67">
        <v>24</v>
      </c>
      <c r="N43" s="67">
        <v>30</v>
      </c>
      <c r="O43" s="67">
        <v>50</v>
      </c>
      <c r="P43" s="67">
        <v>50</v>
      </c>
      <c r="Q43" s="70">
        <f>L43*O43*M43*0.0036</f>
        <v>43.199999999999996</v>
      </c>
      <c r="R43" s="70">
        <f>L43*P43*M43*0.0036</f>
        <v>43.199999999999996</v>
      </c>
      <c r="S43" s="70">
        <f t="shared" si="13"/>
        <v>1295.9999999999998</v>
      </c>
      <c r="T43" s="70">
        <f t="shared" si="13"/>
        <v>1295.9999999999998</v>
      </c>
      <c r="U43" s="70">
        <f t="shared" si="14"/>
        <v>15767.999999999998</v>
      </c>
      <c r="V43" s="70">
        <f t="shared" si="14"/>
        <v>15767.999999999998</v>
      </c>
      <c r="W43" s="70">
        <f t="shared" si="15"/>
        <v>15767.999999999998</v>
      </c>
      <c r="X43" s="70">
        <f>V43</f>
        <v>15767.999999999998</v>
      </c>
      <c r="Y43" s="8" t="s">
        <v>135</v>
      </c>
    </row>
    <row r="44" spans="1:25" ht="57.75" customHeight="1" thickBot="1">
      <c r="A44"/>
      <c r="B44" s="63" t="s">
        <v>22</v>
      </c>
      <c r="C44" s="63" t="s">
        <v>23</v>
      </c>
      <c r="D44" s="64" t="s">
        <v>83</v>
      </c>
      <c r="E44" s="63">
        <v>2</v>
      </c>
      <c r="F44" s="63" t="s">
        <v>25</v>
      </c>
      <c r="G44" s="65" t="s">
        <v>84</v>
      </c>
      <c r="H44" s="66" t="s">
        <v>42</v>
      </c>
      <c r="I44" s="67" t="s">
        <v>28</v>
      </c>
      <c r="J44" s="67" t="s">
        <v>28</v>
      </c>
      <c r="K44" s="67" t="s">
        <v>28</v>
      </c>
      <c r="L44" s="67">
        <v>10</v>
      </c>
      <c r="M44" s="67">
        <v>24</v>
      </c>
      <c r="N44" s="67">
        <v>30</v>
      </c>
      <c r="O44" s="67">
        <v>50</v>
      </c>
      <c r="P44" s="67">
        <v>50</v>
      </c>
      <c r="Q44" s="70">
        <f>L44*O44*M44*0.0036</f>
        <v>43.199999999999996</v>
      </c>
      <c r="R44" s="70">
        <f>L44*P44*M44*0.0036</f>
        <v>43.199999999999996</v>
      </c>
      <c r="S44" s="70">
        <f t="shared" si="13"/>
        <v>1295.9999999999998</v>
      </c>
      <c r="T44" s="70">
        <f t="shared" si="13"/>
        <v>1295.9999999999998</v>
      </c>
      <c r="U44" s="70">
        <f t="shared" si="14"/>
        <v>15767.999999999998</v>
      </c>
      <c r="V44" s="70">
        <f t="shared" si="14"/>
        <v>15767.999999999998</v>
      </c>
      <c r="W44" s="70">
        <f>T44</f>
        <v>1295.9999999999998</v>
      </c>
      <c r="X44" s="70">
        <f>V44</f>
        <v>15767.999999999998</v>
      </c>
      <c r="Y44" s="5" t="s">
        <v>136</v>
      </c>
    </row>
    <row r="45" spans="1:25" ht="26.45" customHeight="1" thickBot="1">
      <c r="A45"/>
      <c r="B45" s="178" t="s">
        <v>95</v>
      </c>
      <c r="C45" s="179"/>
      <c r="D45" s="179"/>
      <c r="E45" s="179"/>
      <c r="F45" s="179"/>
      <c r="G45" s="179"/>
      <c r="H45" s="179"/>
      <c r="I45" s="179"/>
      <c r="J45" s="179"/>
      <c r="K45" s="179"/>
      <c r="L45" s="179"/>
      <c r="M45" s="179"/>
      <c r="N45" s="179"/>
      <c r="O45" s="179"/>
      <c r="P45" s="179"/>
      <c r="Q45" s="179"/>
      <c r="R45" s="179"/>
      <c r="S45" s="179"/>
      <c r="T45" s="180"/>
      <c r="U45" s="16">
        <f>SUM(U29:U44)</f>
        <v>258824.50759999998</v>
      </c>
      <c r="V45" s="99">
        <f>SUM(V29:V44)</f>
        <v>329214.43639999995</v>
      </c>
      <c r="W45" s="99">
        <f>SUM(W29:W44)</f>
        <v>175529.213112</v>
      </c>
      <c r="X45" s="99">
        <f>SUM(X29:X44)</f>
        <v>206275.48761760004</v>
      </c>
      <c r="Y45" s="5"/>
    </row>
    <row r="46" s="190" customFormat="1" ht="26.45" customHeight="1" thickBot="1"/>
    <row r="47" spans="2:25" ht="23.45" customHeight="1" thickBot="1">
      <c r="B47" s="184" t="s">
        <v>98</v>
      </c>
      <c r="C47" s="185"/>
      <c r="D47" s="185"/>
      <c r="E47" s="185"/>
      <c r="F47" s="185"/>
      <c r="G47" s="185"/>
      <c r="H47" s="185"/>
      <c r="I47" s="185"/>
      <c r="J47" s="185"/>
      <c r="K47" s="185"/>
      <c r="L47" s="185"/>
      <c r="M47" s="185"/>
      <c r="N47" s="185"/>
      <c r="O47" s="185"/>
      <c r="P47" s="185"/>
      <c r="Q47" s="185"/>
      <c r="R47" s="185"/>
      <c r="S47" s="185"/>
      <c r="T47" s="185"/>
      <c r="U47" s="185"/>
      <c r="V47" s="224"/>
      <c r="W47" s="224"/>
      <c r="X47" s="225"/>
      <c r="Y47" s="5"/>
    </row>
    <row r="48" spans="1:25" ht="57.75" customHeight="1" thickBot="1">
      <c r="A48"/>
      <c r="B48" s="52" t="s">
        <v>22</v>
      </c>
      <c r="C48" s="52" t="s">
        <v>23</v>
      </c>
      <c r="D48" s="53" t="s">
        <v>54</v>
      </c>
      <c r="E48" s="52">
        <v>2</v>
      </c>
      <c r="F48" s="52" t="s">
        <v>31</v>
      </c>
      <c r="G48" s="54" t="s">
        <v>55</v>
      </c>
      <c r="H48" s="55" t="s">
        <v>27</v>
      </c>
      <c r="I48" s="56">
        <v>552</v>
      </c>
      <c r="J48" s="57">
        <v>0.05</v>
      </c>
      <c r="K48" s="57">
        <v>0.05</v>
      </c>
      <c r="L48" s="57" t="s">
        <v>56</v>
      </c>
      <c r="M48" s="57" t="s">
        <v>56</v>
      </c>
      <c r="N48" s="122" t="s">
        <v>56</v>
      </c>
      <c r="O48" s="57" t="s">
        <v>56</v>
      </c>
      <c r="P48" s="57" t="s">
        <v>56</v>
      </c>
      <c r="Q48" s="59">
        <f aca="true" t="shared" si="20" ref="Q48:Q53">I48*J48</f>
        <v>27.6</v>
      </c>
      <c r="R48" s="59">
        <f aca="true" t="shared" si="21" ref="R48:R53">I48*K48</f>
        <v>27.6</v>
      </c>
      <c r="S48" s="60">
        <f>Q48*30</f>
        <v>828</v>
      </c>
      <c r="T48" s="60">
        <f>R48*30</f>
        <v>828</v>
      </c>
      <c r="U48" s="59">
        <f>Q48*365</f>
        <v>10074</v>
      </c>
      <c r="V48" s="59">
        <f>R48*365</f>
        <v>10074</v>
      </c>
      <c r="W48" s="59">
        <f aca="true" t="shared" si="22" ref="W48:X51">U48</f>
        <v>10074</v>
      </c>
      <c r="X48" s="59">
        <f t="shared" si="22"/>
        <v>10074</v>
      </c>
      <c r="Y48" s="8" t="s">
        <v>105</v>
      </c>
    </row>
    <row r="49" spans="1:25" ht="57.75" customHeight="1" thickBot="1">
      <c r="A49"/>
      <c r="B49" s="52" t="s">
        <v>22</v>
      </c>
      <c r="C49" s="52" t="s">
        <v>23</v>
      </c>
      <c r="D49" s="53" t="s">
        <v>57</v>
      </c>
      <c r="E49" s="52">
        <v>2</v>
      </c>
      <c r="F49" s="52" t="s">
        <v>25</v>
      </c>
      <c r="G49" s="54" t="s">
        <v>58</v>
      </c>
      <c r="H49" s="55" t="s">
        <v>27</v>
      </c>
      <c r="I49" s="57">
        <v>4925</v>
      </c>
      <c r="J49" s="57">
        <v>0.05</v>
      </c>
      <c r="K49" s="58">
        <v>0.05</v>
      </c>
      <c r="L49" s="57" t="s">
        <v>56</v>
      </c>
      <c r="M49" s="57" t="s">
        <v>56</v>
      </c>
      <c r="N49" s="57" t="s">
        <v>56</v>
      </c>
      <c r="O49" s="57" t="s">
        <v>56</v>
      </c>
      <c r="P49" s="57" t="s">
        <v>56</v>
      </c>
      <c r="Q49" s="59">
        <f t="shared" si="20"/>
        <v>246.25</v>
      </c>
      <c r="R49" s="59">
        <f t="shared" si="21"/>
        <v>246.25</v>
      </c>
      <c r="S49" s="60">
        <f aca="true" t="shared" si="23" ref="S49:T54">Q49*30</f>
        <v>7387.5</v>
      </c>
      <c r="T49" s="60">
        <f t="shared" si="23"/>
        <v>7387.5</v>
      </c>
      <c r="U49" s="59">
        <f aca="true" t="shared" si="24" ref="U49:V54">Q49*365</f>
        <v>89881.25</v>
      </c>
      <c r="V49" s="59">
        <f t="shared" si="24"/>
        <v>89881.25</v>
      </c>
      <c r="W49" s="59">
        <f>U49*0.4</f>
        <v>35952.5</v>
      </c>
      <c r="X49" s="59">
        <f>V49*0.4</f>
        <v>35952.5</v>
      </c>
      <c r="Y49" s="8" t="s">
        <v>158</v>
      </c>
    </row>
    <row r="50" spans="1:25" ht="57.75" customHeight="1" thickBot="1">
      <c r="A50"/>
      <c r="B50" s="52" t="s">
        <v>22</v>
      </c>
      <c r="C50" s="52" t="s">
        <v>23</v>
      </c>
      <c r="D50" s="53" t="s">
        <v>59</v>
      </c>
      <c r="E50" s="52">
        <v>2</v>
      </c>
      <c r="F50" s="52" t="s">
        <v>25</v>
      </c>
      <c r="G50" s="54" t="s">
        <v>60</v>
      </c>
      <c r="H50" s="55" t="s">
        <v>27</v>
      </c>
      <c r="I50" s="57">
        <v>2405</v>
      </c>
      <c r="J50" s="57">
        <v>0.05</v>
      </c>
      <c r="K50" s="58">
        <v>0.05</v>
      </c>
      <c r="L50" s="57" t="s">
        <v>56</v>
      </c>
      <c r="M50" s="57" t="s">
        <v>56</v>
      </c>
      <c r="N50" s="122" t="s">
        <v>56</v>
      </c>
      <c r="O50" s="57" t="s">
        <v>56</v>
      </c>
      <c r="P50" s="57" t="s">
        <v>56</v>
      </c>
      <c r="Q50" s="59">
        <f t="shared" si="20"/>
        <v>120.25</v>
      </c>
      <c r="R50" s="59">
        <f t="shared" si="21"/>
        <v>120.25</v>
      </c>
      <c r="S50" s="60">
        <f t="shared" si="23"/>
        <v>3607.5</v>
      </c>
      <c r="T50" s="60">
        <f t="shared" si="23"/>
        <v>3607.5</v>
      </c>
      <c r="U50" s="61">
        <f t="shared" si="24"/>
        <v>43891.25</v>
      </c>
      <c r="V50" s="60">
        <f t="shared" si="24"/>
        <v>43891.25</v>
      </c>
      <c r="W50" s="59">
        <f>U50</f>
        <v>43891.25</v>
      </c>
      <c r="X50" s="59">
        <f>V50</f>
        <v>43891.25</v>
      </c>
      <c r="Y50" s="8" t="s">
        <v>122</v>
      </c>
    </row>
    <row r="51" spans="1:25" ht="57.75" customHeight="1" thickBot="1">
      <c r="A51"/>
      <c r="B51" s="52" t="s">
        <v>22</v>
      </c>
      <c r="C51" s="52" t="s">
        <v>23</v>
      </c>
      <c r="D51" s="53" t="s">
        <v>61</v>
      </c>
      <c r="E51" s="52">
        <v>2</v>
      </c>
      <c r="F51" s="52" t="s">
        <v>31</v>
      </c>
      <c r="G51" s="54" t="s">
        <v>62</v>
      </c>
      <c r="H51" s="55" t="s">
        <v>27</v>
      </c>
      <c r="I51" s="57">
        <v>795</v>
      </c>
      <c r="J51" s="57">
        <v>0.05</v>
      </c>
      <c r="K51" s="58">
        <v>0.05</v>
      </c>
      <c r="L51" s="57" t="s">
        <v>28</v>
      </c>
      <c r="M51" s="57" t="s">
        <v>28</v>
      </c>
      <c r="N51" s="57" t="s">
        <v>28</v>
      </c>
      <c r="O51" s="57" t="s">
        <v>28</v>
      </c>
      <c r="P51" s="57" t="s">
        <v>28</v>
      </c>
      <c r="Q51" s="60">
        <f t="shared" si="20"/>
        <v>39.75</v>
      </c>
      <c r="R51" s="60">
        <f t="shared" si="21"/>
        <v>39.75</v>
      </c>
      <c r="S51" s="60">
        <f t="shared" si="23"/>
        <v>1192.5</v>
      </c>
      <c r="T51" s="60">
        <f t="shared" si="23"/>
        <v>1192.5</v>
      </c>
      <c r="U51" s="61">
        <f t="shared" si="24"/>
        <v>14508.75</v>
      </c>
      <c r="V51" s="60">
        <f t="shared" si="24"/>
        <v>14508.75</v>
      </c>
      <c r="W51" s="59">
        <f t="shared" si="22"/>
        <v>14508.75</v>
      </c>
      <c r="X51" s="59">
        <f t="shared" si="22"/>
        <v>14508.75</v>
      </c>
      <c r="Y51" s="8" t="s">
        <v>63</v>
      </c>
    </row>
    <row r="52" spans="1:25" s="20" customFormat="1" ht="57.75" customHeight="1" thickBot="1">
      <c r="A52" s="101"/>
      <c r="B52" s="52" t="s">
        <v>22</v>
      </c>
      <c r="C52" s="52" t="s">
        <v>23</v>
      </c>
      <c r="D52" s="53" t="s">
        <v>64</v>
      </c>
      <c r="E52" s="52">
        <v>2</v>
      </c>
      <c r="F52" s="52" t="s">
        <v>25</v>
      </c>
      <c r="G52" s="54" t="s">
        <v>65</v>
      </c>
      <c r="H52" s="55" t="s">
        <v>27</v>
      </c>
      <c r="I52" s="57">
        <v>327</v>
      </c>
      <c r="J52" s="57">
        <v>0.05</v>
      </c>
      <c r="K52" s="58">
        <v>0.05</v>
      </c>
      <c r="L52" s="57" t="s">
        <v>28</v>
      </c>
      <c r="M52" s="57" t="s">
        <v>28</v>
      </c>
      <c r="N52" s="57" t="s">
        <v>28</v>
      </c>
      <c r="O52" s="57" t="s">
        <v>28</v>
      </c>
      <c r="P52" s="57" t="s">
        <v>28</v>
      </c>
      <c r="Q52" s="59">
        <f t="shared" si="20"/>
        <v>16.35</v>
      </c>
      <c r="R52" s="59">
        <f t="shared" si="21"/>
        <v>16.35</v>
      </c>
      <c r="S52" s="60">
        <f t="shared" si="23"/>
        <v>490.50000000000006</v>
      </c>
      <c r="T52" s="60">
        <f t="shared" si="23"/>
        <v>490.50000000000006</v>
      </c>
      <c r="U52" s="61">
        <f t="shared" si="24"/>
        <v>5967.750000000001</v>
      </c>
      <c r="V52" s="60">
        <f t="shared" si="24"/>
        <v>5967.750000000001</v>
      </c>
      <c r="W52" s="59">
        <f>U52*0.15</f>
        <v>895.1625000000001</v>
      </c>
      <c r="X52" s="59">
        <f>V52*0.15</f>
        <v>895.1625000000001</v>
      </c>
      <c r="Y52" s="102" t="s">
        <v>164</v>
      </c>
    </row>
    <row r="53" spans="1:25" ht="57.75" customHeight="1" thickBot="1">
      <c r="A53"/>
      <c r="B53" s="52" t="s">
        <v>22</v>
      </c>
      <c r="C53" s="52" t="s">
        <v>23</v>
      </c>
      <c r="D53" s="53" t="s">
        <v>66</v>
      </c>
      <c r="E53" s="52">
        <v>2</v>
      </c>
      <c r="F53" s="52" t="s">
        <v>31</v>
      </c>
      <c r="G53" s="54" t="s">
        <v>67</v>
      </c>
      <c r="H53" s="55" t="s">
        <v>27</v>
      </c>
      <c r="I53" s="57">
        <v>374</v>
      </c>
      <c r="J53" s="57">
        <v>0.05</v>
      </c>
      <c r="K53" s="58">
        <v>0.05</v>
      </c>
      <c r="L53" s="57" t="s">
        <v>28</v>
      </c>
      <c r="M53" s="57" t="s">
        <v>28</v>
      </c>
      <c r="N53" s="57" t="s">
        <v>28</v>
      </c>
      <c r="O53" s="57" t="s">
        <v>28</v>
      </c>
      <c r="P53" s="57" t="s">
        <v>28</v>
      </c>
      <c r="Q53" s="59">
        <f t="shared" si="20"/>
        <v>18.7</v>
      </c>
      <c r="R53" s="59">
        <f t="shared" si="21"/>
        <v>18.7</v>
      </c>
      <c r="S53" s="60">
        <f t="shared" si="23"/>
        <v>561</v>
      </c>
      <c r="T53" s="60">
        <f t="shared" si="23"/>
        <v>561</v>
      </c>
      <c r="U53" s="61">
        <f t="shared" si="24"/>
        <v>6825.5</v>
      </c>
      <c r="V53" s="60">
        <f t="shared" si="24"/>
        <v>6825.5</v>
      </c>
      <c r="W53" s="59">
        <f>U53*0.2</f>
        <v>1365.1000000000001</v>
      </c>
      <c r="X53" s="59">
        <f>V53*0.2</f>
        <v>1365.1000000000001</v>
      </c>
      <c r="Y53" s="8" t="s">
        <v>124</v>
      </c>
    </row>
    <row r="54" spans="1:25" ht="57.75" customHeight="1" thickBot="1">
      <c r="A54"/>
      <c r="B54" s="52" t="s">
        <v>22</v>
      </c>
      <c r="C54" s="52" t="s">
        <v>23</v>
      </c>
      <c r="D54" s="53" t="s">
        <v>57</v>
      </c>
      <c r="E54" s="52">
        <v>2</v>
      </c>
      <c r="F54" s="52" t="s">
        <v>31</v>
      </c>
      <c r="G54" s="54" t="s">
        <v>69</v>
      </c>
      <c r="H54" s="57" t="s">
        <v>144</v>
      </c>
      <c r="I54" s="57">
        <v>624</v>
      </c>
      <c r="J54" s="57" t="s">
        <v>28</v>
      </c>
      <c r="K54" s="57" t="s">
        <v>28</v>
      </c>
      <c r="L54" s="57" t="s">
        <v>28</v>
      </c>
      <c r="M54" s="57" t="s">
        <v>28</v>
      </c>
      <c r="N54" s="57" t="s">
        <v>28</v>
      </c>
      <c r="O54" s="57" t="s">
        <v>28</v>
      </c>
      <c r="P54" s="57" t="s">
        <v>28</v>
      </c>
      <c r="Q54" s="57">
        <v>9.38</v>
      </c>
      <c r="R54" s="59">
        <v>4.8</v>
      </c>
      <c r="S54" s="60">
        <f t="shared" si="23"/>
        <v>281.40000000000003</v>
      </c>
      <c r="T54" s="60">
        <f t="shared" si="23"/>
        <v>144</v>
      </c>
      <c r="U54" s="61">
        <f t="shared" si="24"/>
        <v>3423.7000000000003</v>
      </c>
      <c r="V54" s="60">
        <f t="shared" si="24"/>
        <v>1752</v>
      </c>
      <c r="W54" s="59">
        <f>U54</f>
        <v>3423.7000000000003</v>
      </c>
      <c r="X54" s="59">
        <f>V54</f>
        <v>1752</v>
      </c>
      <c r="Y54" s="8" t="s">
        <v>126</v>
      </c>
    </row>
    <row r="55" spans="1:25" ht="21.6" customHeight="1" thickBot="1">
      <c r="A55"/>
      <c r="B55" s="184" t="s">
        <v>39</v>
      </c>
      <c r="C55" s="185"/>
      <c r="D55" s="185"/>
      <c r="E55" s="185"/>
      <c r="F55" s="185"/>
      <c r="G55" s="185"/>
      <c r="H55" s="185"/>
      <c r="I55" s="185"/>
      <c r="J55" s="185"/>
      <c r="K55" s="185"/>
      <c r="L55" s="185"/>
      <c r="M55" s="185"/>
      <c r="N55" s="185"/>
      <c r="O55" s="185"/>
      <c r="P55" s="185"/>
      <c r="Q55" s="185"/>
      <c r="R55" s="185"/>
      <c r="S55" s="185"/>
      <c r="T55" s="185"/>
      <c r="U55" s="185"/>
      <c r="V55" s="226"/>
      <c r="W55" s="123"/>
      <c r="X55" s="124"/>
      <c r="Y55" s="1"/>
    </row>
    <row r="56" spans="1:25" ht="57.75" customHeight="1" thickBot="1">
      <c r="A56"/>
      <c r="B56" s="52" t="s">
        <v>22</v>
      </c>
      <c r="C56" s="52" t="s">
        <v>23</v>
      </c>
      <c r="D56" s="53" t="s">
        <v>57</v>
      </c>
      <c r="E56" s="52">
        <v>2</v>
      </c>
      <c r="F56" s="125" t="s">
        <v>25</v>
      </c>
      <c r="G56" s="54" t="s">
        <v>70</v>
      </c>
      <c r="H56" s="55" t="s">
        <v>42</v>
      </c>
      <c r="I56" s="56" t="s">
        <v>28</v>
      </c>
      <c r="J56" s="56" t="s">
        <v>28</v>
      </c>
      <c r="K56" s="56" t="s">
        <v>28</v>
      </c>
      <c r="L56" s="56">
        <v>0.28</v>
      </c>
      <c r="M56" s="56">
        <v>8</v>
      </c>
      <c r="N56" s="56">
        <v>24</v>
      </c>
      <c r="O56" s="56">
        <v>2185</v>
      </c>
      <c r="P56" s="56">
        <v>390</v>
      </c>
      <c r="Q56" s="59">
        <f>L56*O56*0.0036*M56</f>
        <v>17.61984</v>
      </c>
      <c r="R56" s="59">
        <f>L56*P56*0.0036*M56</f>
        <v>3.14496</v>
      </c>
      <c r="S56" s="59">
        <f>Q56*N56</f>
        <v>422.87616</v>
      </c>
      <c r="T56" s="59">
        <f>R56*N56</f>
        <v>75.47904</v>
      </c>
      <c r="U56" s="59">
        <f aca="true" t="shared" si="25" ref="U56">Q56*365</f>
        <v>6431.2416</v>
      </c>
      <c r="V56" s="59">
        <f aca="true" t="shared" si="26" ref="V56">R56*365</f>
        <v>1147.9104</v>
      </c>
      <c r="W56" s="59">
        <v>1254.092112</v>
      </c>
      <c r="X56" s="59">
        <v>624.4632576</v>
      </c>
      <c r="Y56" s="8" t="s">
        <v>130</v>
      </c>
    </row>
    <row r="57" spans="1:25" ht="57.75" customHeight="1" thickBot="1">
      <c r="A57"/>
      <c r="B57" s="52" t="s">
        <v>22</v>
      </c>
      <c r="C57" s="52" t="s">
        <v>23</v>
      </c>
      <c r="D57" s="53" t="s">
        <v>71</v>
      </c>
      <c r="E57" s="52">
        <v>2</v>
      </c>
      <c r="F57" s="126" t="s">
        <v>25</v>
      </c>
      <c r="G57" s="54" t="s">
        <v>72</v>
      </c>
      <c r="H57" s="55" t="s">
        <v>42</v>
      </c>
      <c r="I57" s="56" t="s">
        <v>28</v>
      </c>
      <c r="J57" s="56" t="s">
        <v>28</v>
      </c>
      <c r="K57" s="56" t="s">
        <v>28</v>
      </c>
      <c r="L57" s="56" t="s">
        <v>28</v>
      </c>
      <c r="M57" s="56" t="s">
        <v>28</v>
      </c>
      <c r="N57" s="56" t="s">
        <v>28</v>
      </c>
      <c r="O57" s="56" t="s">
        <v>28</v>
      </c>
      <c r="P57" s="56" t="s">
        <v>28</v>
      </c>
      <c r="Q57" s="59">
        <v>96.88</v>
      </c>
      <c r="R57" s="59">
        <v>175.04</v>
      </c>
      <c r="S57" s="59">
        <f aca="true" t="shared" si="27" ref="S57:T63">Q57*30</f>
        <v>2906.3999999999996</v>
      </c>
      <c r="T57" s="59">
        <f t="shared" si="27"/>
        <v>5251.2</v>
      </c>
      <c r="U57" s="59">
        <f aca="true" t="shared" si="28" ref="U57:V63">Q57*365</f>
        <v>35361.2</v>
      </c>
      <c r="V57" s="59">
        <f t="shared" si="28"/>
        <v>63889.6</v>
      </c>
      <c r="W57" s="59">
        <f>U57</f>
        <v>35361.2</v>
      </c>
      <c r="X57" s="59">
        <f>V57*0.65</f>
        <v>41528.24</v>
      </c>
      <c r="Y57" s="8" t="s">
        <v>73</v>
      </c>
    </row>
    <row r="58" spans="1:25" ht="57.75" customHeight="1" thickBot="1">
      <c r="A58"/>
      <c r="B58" s="52" t="s">
        <v>22</v>
      </c>
      <c r="C58" s="52" t="s">
        <v>23</v>
      </c>
      <c r="D58" s="53" t="s">
        <v>74</v>
      </c>
      <c r="E58" s="52">
        <v>2</v>
      </c>
      <c r="F58" s="52" t="s">
        <v>25</v>
      </c>
      <c r="G58" s="54" t="s">
        <v>75</v>
      </c>
      <c r="H58" s="55" t="s">
        <v>42</v>
      </c>
      <c r="I58" s="56" t="s">
        <v>28</v>
      </c>
      <c r="J58" s="56" t="s">
        <v>28</v>
      </c>
      <c r="K58" s="56" t="s">
        <v>28</v>
      </c>
      <c r="L58" s="56">
        <v>8</v>
      </c>
      <c r="M58" s="56">
        <v>24</v>
      </c>
      <c r="N58" s="56">
        <v>30</v>
      </c>
      <c r="O58" s="56">
        <v>7</v>
      </c>
      <c r="P58" s="56">
        <v>120</v>
      </c>
      <c r="Q58" s="59">
        <f>L58*O58*M58*0.0036</f>
        <v>4.8384</v>
      </c>
      <c r="R58" s="59">
        <f>L58*P58*M58*0.0036</f>
        <v>82.944</v>
      </c>
      <c r="S58" s="59">
        <f t="shared" si="27"/>
        <v>145.152</v>
      </c>
      <c r="T58" s="59">
        <f t="shared" si="27"/>
        <v>2488.32</v>
      </c>
      <c r="U58" s="59">
        <f t="shared" si="28"/>
        <v>1766.016</v>
      </c>
      <c r="V58" s="59">
        <f t="shared" si="28"/>
        <v>30274.56</v>
      </c>
      <c r="W58" s="59">
        <f>U58</f>
        <v>1766.016</v>
      </c>
      <c r="X58" s="59">
        <f>V58*0.42</f>
        <v>12715.315200000001</v>
      </c>
      <c r="Y58" s="8" t="s">
        <v>129</v>
      </c>
    </row>
    <row r="59" spans="1:25" ht="57.75" customHeight="1" thickBot="1">
      <c r="A59"/>
      <c r="B59" s="52" t="s">
        <v>22</v>
      </c>
      <c r="C59" s="52" t="s">
        <v>23</v>
      </c>
      <c r="D59" s="53" t="s">
        <v>77</v>
      </c>
      <c r="E59" s="52">
        <v>2</v>
      </c>
      <c r="F59" s="52" t="s">
        <v>25</v>
      </c>
      <c r="G59" s="54" t="s">
        <v>162</v>
      </c>
      <c r="H59" s="55" t="s">
        <v>42</v>
      </c>
      <c r="I59" s="56" t="s">
        <v>28</v>
      </c>
      <c r="J59" s="56" t="s">
        <v>28</v>
      </c>
      <c r="K59" s="56" t="s">
        <v>28</v>
      </c>
      <c r="L59" s="56" t="s">
        <v>28</v>
      </c>
      <c r="M59" s="56" t="s">
        <v>28</v>
      </c>
      <c r="N59" s="56" t="s">
        <v>28</v>
      </c>
      <c r="O59" s="56" t="s">
        <v>28</v>
      </c>
      <c r="P59" s="56" t="s">
        <v>28</v>
      </c>
      <c r="Q59" s="59">
        <v>8.64</v>
      </c>
      <c r="R59" s="59">
        <v>8.64</v>
      </c>
      <c r="S59" s="59">
        <f t="shared" si="27"/>
        <v>259.20000000000005</v>
      </c>
      <c r="T59" s="59">
        <f t="shared" si="27"/>
        <v>259.20000000000005</v>
      </c>
      <c r="U59" s="59">
        <f t="shared" si="28"/>
        <v>3153.6000000000004</v>
      </c>
      <c r="V59" s="59">
        <f t="shared" si="28"/>
        <v>3153.6000000000004</v>
      </c>
      <c r="W59" s="59">
        <f>U59*0.5</f>
        <v>1576.8000000000002</v>
      </c>
      <c r="X59" s="59">
        <f>V59*0.5</f>
        <v>1576.8000000000002</v>
      </c>
      <c r="Y59" s="8" t="s">
        <v>131</v>
      </c>
    </row>
    <row r="60" spans="1:25" ht="57.75" customHeight="1" thickBot="1">
      <c r="A60"/>
      <c r="B60" s="52" t="s">
        <v>22</v>
      </c>
      <c r="C60" s="52" t="s">
        <v>23</v>
      </c>
      <c r="D60" s="53" t="s">
        <v>79</v>
      </c>
      <c r="E60" s="52">
        <v>2</v>
      </c>
      <c r="F60" s="52" t="s">
        <v>31</v>
      </c>
      <c r="G60" s="54" t="s">
        <v>80</v>
      </c>
      <c r="H60" s="55" t="s">
        <v>42</v>
      </c>
      <c r="I60" s="56" t="s">
        <v>28</v>
      </c>
      <c r="J60" s="56" t="s">
        <v>28</v>
      </c>
      <c r="K60" s="56" t="s">
        <v>28</v>
      </c>
      <c r="L60" s="56">
        <v>2.25</v>
      </c>
      <c r="M60" s="56">
        <v>24</v>
      </c>
      <c r="N60" s="56">
        <v>30</v>
      </c>
      <c r="O60" s="56">
        <v>50</v>
      </c>
      <c r="P60" s="56">
        <v>193</v>
      </c>
      <c r="Q60" s="59">
        <f>L60*O60*M60*0.0036</f>
        <v>9.719999999999999</v>
      </c>
      <c r="R60" s="59">
        <f>L60*P60*M60*0.0036</f>
        <v>37.5192</v>
      </c>
      <c r="S60" s="59">
        <f t="shared" si="27"/>
        <v>291.59999999999997</v>
      </c>
      <c r="T60" s="59">
        <f t="shared" si="27"/>
        <v>1125.576</v>
      </c>
      <c r="U60" s="59">
        <f t="shared" si="28"/>
        <v>3547.7999999999997</v>
      </c>
      <c r="V60" s="59">
        <f t="shared" si="28"/>
        <v>13694.508</v>
      </c>
      <c r="W60" s="59">
        <v>2838.24</v>
      </c>
      <c r="X60" s="59">
        <v>3560.57208</v>
      </c>
      <c r="Y60" s="8" t="s">
        <v>133</v>
      </c>
    </row>
    <row r="61" spans="1:25" ht="57.75" customHeight="1" thickBot="1">
      <c r="A61"/>
      <c r="B61" s="52" t="s">
        <v>22</v>
      </c>
      <c r="C61" s="52" t="s">
        <v>23</v>
      </c>
      <c r="D61" s="53" t="s">
        <v>79</v>
      </c>
      <c r="E61" s="52">
        <v>2</v>
      </c>
      <c r="F61" s="52" t="s">
        <v>31</v>
      </c>
      <c r="G61" s="54" t="s">
        <v>81</v>
      </c>
      <c r="H61" s="55" t="s">
        <v>42</v>
      </c>
      <c r="I61" s="56" t="s">
        <v>28</v>
      </c>
      <c r="J61" s="56" t="s">
        <v>28</v>
      </c>
      <c r="K61" s="56" t="s">
        <v>28</v>
      </c>
      <c r="L61" s="56">
        <v>2.25</v>
      </c>
      <c r="M61" s="56">
        <v>24</v>
      </c>
      <c r="N61" s="56">
        <v>30</v>
      </c>
      <c r="O61" s="56">
        <v>50</v>
      </c>
      <c r="P61" s="56">
        <v>193</v>
      </c>
      <c r="Q61" s="59">
        <f>L61*O61*M61*0.0036</f>
        <v>9.719999999999999</v>
      </c>
      <c r="R61" s="59">
        <f>L61*P61*M61*0.0036</f>
        <v>37.5192</v>
      </c>
      <c r="S61" s="59">
        <f t="shared" si="27"/>
        <v>291.59999999999997</v>
      </c>
      <c r="T61" s="59">
        <f t="shared" si="27"/>
        <v>1125.576</v>
      </c>
      <c r="U61" s="59">
        <f t="shared" si="28"/>
        <v>3547.7999999999997</v>
      </c>
      <c r="V61" s="59">
        <f t="shared" si="28"/>
        <v>13694.508</v>
      </c>
      <c r="W61" s="59">
        <v>2838.24</v>
      </c>
      <c r="X61" s="59">
        <v>3560.57208</v>
      </c>
      <c r="Y61" s="8" t="s">
        <v>134</v>
      </c>
    </row>
    <row r="62" spans="1:25" ht="57.75" customHeight="1" thickBot="1">
      <c r="A62"/>
      <c r="B62" s="52" t="s">
        <v>22</v>
      </c>
      <c r="C62" s="52" t="s">
        <v>23</v>
      </c>
      <c r="D62" s="53" t="s">
        <v>33</v>
      </c>
      <c r="E62" s="52">
        <v>2</v>
      </c>
      <c r="F62" s="52" t="s">
        <v>31</v>
      </c>
      <c r="G62" s="54" t="s">
        <v>82</v>
      </c>
      <c r="H62" s="55" t="s">
        <v>42</v>
      </c>
      <c r="I62" s="56" t="s">
        <v>28</v>
      </c>
      <c r="J62" s="56" t="s">
        <v>28</v>
      </c>
      <c r="K62" s="56" t="s">
        <v>28</v>
      </c>
      <c r="L62" s="56">
        <v>10</v>
      </c>
      <c r="M62" s="56">
        <v>24</v>
      </c>
      <c r="N62" s="56">
        <v>30</v>
      </c>
      <c r="O62" s="56">
        <v>50</v>
      </c>
      <c r="P62" s="56">
        <v>50</v>
      </c>
      <c r="Q62" s="59">
        <f>L62*O62*M62*0.0036</f>
        <v>43.199999999999996</v>
      </c>
      <c r="R62" s="59">
        <f>L62*P62*M62*0.0036</f>
        <v>43.199999999999996</v>
      </c>
      <c r="S62" s="59">
        <f t="shared" si="27"/>
        <v>1295.9999999999998</v>
      </c>
      <c r="T62" s="59">
        <f t="shared" si="27"/>
        <v>1295.9999999999998</v>
      </c>
      <c r="U62" s="59">
        <f t="shared" si="28"/>
        <v>15767.999999999998</v>
      </c>
      <c r="V62" s="59">
        <f t="shared" si="28"/>
        <v>15767.999999999998</v>
      </c>
      <c r="W62" s="59">
        <f>U62</f>
        <v>15767.999999999998</v>
      </c>
      <c r="X62" s="59">
        <f>V62</f>
        <v>15767.999999999998</v>
      </c>
      <c r="Y62" s="8" t="s">
        <v>135</v>
      </c>
    </row>
    <row r="63" spans="1:25" ht="57.75" customHeight="1" thickBot="1">
      <c r="A63"/>
      <c r="B63" s="52" t="s">
        <v>22</v>
      </c>
      <c r="C63" s="52" t="s">
        <v>23</v>
      </c>
      <c r="D63" s="53" t="s">
        <v>83</v>
      </c>
      <c r="E63" s="52">
        <v>2</v>
      </c>
      <c r="F63" s="52" t="s">
        <v>25</v>
      </c>
      <c r="G63" s="54" t="s">
        <v>84</v>
      </c>
      <c r="H63" s="55" t="s">
        <v>42</v>
      </c>
      <c r="I63" s="56" t="s">
        <v>28</v>
      </c>
      <c r="J63" s="56" t="s">
        <v>28</v>
      </c>
      <c r="K63" s="56" t="s">
        <v>28</v>
      </c>
      <c r="L63" s="56">
        <v>10</v>
      </c>
      <c r="M63" s="56">
        <v>24</v>
      </c>
      <c r="N63" s="56">
        <v>30</v>
      </c>
      <c r="O63" s="56">
        <v>50</v>
      </c>
      <c r="P63" s="56">
        <v>50</v>
      </c>
      <c r="Q63" s="59">
        <f>L63*O63*M63*0.0036</f>
        <v>43.199999999999996</v>
      </c>
      <c r="R63" s="59">
        <f>L63*P63*M63*0.0036</f>
        <v>43.199999999999996</v>
      </c>
      <c r="S63" s="59">
        <f t="shared" si="27"/>
        <v>1295.9999999999998</v>
      </c>
      <c r="T63" s="59">
        <f t="shared" si="27"/>
        <v>1295.9999999999998</v>
      </c>
      <c r="U63" s="59">
        <f t="shared" si="28"/>
        <v>15767.999999999998</v>
      </c>
      <c r="V63" s="59">
        <f t="shared" si="28"/>
        <v>15767.999999999998</v>
      </c>
      <c r="W63" s="59">
        <f>T63</f>
        <v>1295.9999999999998</v>
      </c>
      <c r="X63" s="59">
        <f>V63</f>
        <v>15767.999999999998</v>
      </c>
      <c r="Y63" s="5" t="s">
        <v>136</v>
      </c>
    </row>
    <row r="64" spans="1:25" ht="26.45" customHeight="1" thickBot="1">
      <c r="A64"/>
      <c r="B64" s="187" t="s">
        <v>97</v>
      </c>
      <c r="C64" s="188"/>
      <c r="D64" s="188"/>
      <c r="E64" s="188"/>
      <c r="F64" s="188"/>
      <c r="G64" s="188"/>
      <c r="H64" s="188"/>
      <c r="I64" s="188"/>
      <c r="J64" s="188"/>
      <c r="K64" s="188"/>
      <c r="L64" s="188"/>
      <c r="M64" s="188"/>
      <c r="N64" s="188"/>
      <c r="O64" s="188"/>
      <c r="P64" s="188"/>
      <c r="Q64" s="188"/>
      <c r="R64" s="188"/>
      <c r="S64" s="188"/>
      <c r="T64" s="189"/>
      <c r="U64" s="14">
        <f>SUM(U48:U63)</f>
        <v>259915.85760000002</v>
      </c>
      <c r="V64" s="98">
        <f>SUM(V48:V63)</f>
        <v>330291.18639999995</v>
      </c>
      <c r="W64" s="98">
        <f>SUM(W48:W63)</f>
        <v>172809.050612</v>
      </c>
      <c r="X64" s="98">
        <f>SUM(X48:X63)</f>
        <v>203540.72511760003</v>
      </c>
      <c r="Y64" s="5"/>
    </row>
    <row r="65" s="169" customFormat="1" ht="26.45" customHeight="1" thickBot="1"/>
    <row r="66" spans="2:25" ht="23.45" customHeight="1" thickBot="1">
      <c r="B66" s="181" t="s">
        <v>99</v>
      </c>
      <c r="C66" s="182"/>
      <c r="D66" s="182"/>
      <c r="E66" s="182"/>
      <c r="F66" s="182"/>
      <c r="G66" s="182"/>
      <c r="H66" s="182"/>
      <c r="I66" s="182"/>
      <c r="J66" s="182"/>
      <c r="K66" s="182"/>
      <c r="L66" s="182"/>
      <c r="M66" s="182"/>
      <c r="N66" s="182"/>
      <c r="O66" s="182"/>
      <c r="P66" s="182"/>
      <c r="Q66" s="182"/>
      <c r="R66" s="182"/>
      <c r="S66" s="182"/>
      <c r="T66" s="182"/>
      <c r="U66" s="182"/>
      <c r="V66" s="227"/>
      <c r="W66" s="227"/>
      <c r="X66" s="228"/>
      <c r="Y66" s="5"/>
    </row>
    <row r="67" spans="1:25" ht="57.75" customHeight="1" thickBot="1">
      <c r="A67"/>
      <c r="B67" s="74" t="s">
        <v>22</v>
      </c>
      <c r="C67" s="74" t="s">
        <v>23</v>
      </c>
      <c r="D67" s="75" t="s">
        <v>54</v>
      </c>
      <c r="E67" s="74">
        <v>2</v>
      </c>
      <c r="F67" s="74" t="s">
        <v>31</v>
      </c>
      <c r="G67" s="76" t="s">
        <v>55</v>
      </c>
      <c r="H67" s="77" t="s">
        <v>27</v>
      </c>
      <c r="I67" s="78">
        <v>553</v>
      </c>
      <c r="J67" s="79">
        <v>0.05</v>
      </c>
      <c r="K67" s="79">
        <v>0.05</v>
      </c>
      <c r="L67" s="79" t="s">
        <v>56</v>
      </c>
      <c r="M67" s="79" t="s">
        <v>56</v>
      </c>
      <c r="N67" s="127" t="s">
        <v>56</v>
      </c>
      <c r="O67" s="79" t="s">
        <v>56</v>
      </c>
      <c r="P67" s="79" t="s">
        <v>56</v>
      </c>
      <c r="Q67" s="81">
        <f aca="true" t="shared" si="29" ref="Q67:Q72">I67*J67</f>
        <v>27.650000000000002</v>
      </c>
      <c r="R67" s="81">
        <f aca="true" t="shared" si="30" ref="R67:R72">I67*K67</f>
        <v>27.650000000000002</v>
      </c>
      <c r="S67" s="82">
        <f>Q67*30</f>
        <v>829.5000000000001</v>
      </c>
      <c r="T67" s="82">
        <f>R67*30</f>
        <v>829.5000000000001</v>
      </c>
      <c r="U67" s="81">
        <f>Q67*365</f>
        <v>10092.25</v>
      </c>
      <c r="V67" s="81">
        <f>R67*365</f>
        <v>10092.25</v>
      </c>
      <c r="W67" s="81">
        <f>U67</f>
        <v>10092.25</v>
      </c>
      <c r="X67" s="81">
        <f>V67</f>
        <v>10092.25</v>
      </c>
      <c r="Y67" s="8" t="s">
        <v>105</v>
      </c>
    </row>
    <row r="68" spans="1:25" ht="57.75" customHeight="1" thickBot="1">
      <c r="A68"/>
      <c r="B68" s="74" t="s">
        <v>22</v>
      </c>
      <c r="C68" s="74" t="s">
        <v>23</v>
      </c>
      <c r="D68" s="75" t="s">
        <v>57</v>
      </c>
      <c r="E68" s="74">
        <v>2</v>
      </c>
      <c r="F68" s="74" t="s">
        <v>25</v>
      </c>
      <c r="G68" s="76" t="s">
        <v>58</v>
      </c>
      <c r="H68" s="77" t="s">
        <v>27</v>
      </c>
      <c r="I68" s="79">
        <v>4935</v>
      </c>
      <c r="J68" s="79">
        <v>0.05</v>
      </c>
      <c r="K68" s="80">
        <v>0.05</v>
      </c>
      <c r="L68" s="79" t="s">
        <v>56</v>
      </c>
      <c r="M68" s="79" t="s">
        <v>56</v>
      </c>
      <c r="N68" s="79" t="s">
        <v>56</v>
      </c>
      <c r="O68" s="79" t="s">
        <v>56</v>
      </c>
      <c r="P68" s="79" t="s">
        <v>56</v>
      </c>
      <c r="Q68" s="81">
        <f t="shared" si="29"/>
        <v>246.75</v>
      </c>
      <c r="R68" s="81">
        <f t="shared" si="30"/>
        <v>246.75</v>
      </c>
      <c r="S68" s="82">
        <f aca="true" t="shared" si="31" ref="S68:T73">Q68*30</f>
        <v>7402.5</v>
      </c>
      <c r="T68" s="82">
        <f t="shared" si="31"/>
        <v>7402.5</v>
      </c>
      <c r="U68" s="81">
        <f aca="true" t="shared" si="32" ref="U68:V73">Q68*365</f>
        <v>90063.75</v>
      </c>
      <c r="V68" s="81">
        <f t="shared" si="32"/>
        <v>90063.75</v>
      </c>
      <c r="W68" s="81">
        <f>U68*0.4</f>
        <v>36025.5</v>
      </c>
      <c r="X68" s="81">
        <f>V68*0.4</f>
        <v>36025.5</v>
      </c>
      <c r="Y68" s="8" t="s">
        <v>158</v>
      </c>
    </row>
    <row r="69" spans="1:25" ht="57.75" customHeight="1" thickBot="1">
      <c r="A69"/>
      <c r="B69" s="74" t="s">
        <v>22</v>
      </c>
      <c r="C69" s="74" t="s">
        <v>23</v>
      </c>
      <c r="D69" s="75" t="s">
        <v>59</v>
      </c>
      <c r="E69" s="74">
        <v>2</v>
      </c>
      <c r="F69" s="74" t="s">
        <v>25</v>
      </c>
      <c r="G69" s="76" t="s">
        <v>60</v>
      </c>
      <c r="H69" s="77" t="s">
        <v>27</v>
      </c>
      <c r="I69" s="79">
        <v>2442</v>
      </c>
      <c r="J69" s="79">
        <v>0.05</v>
      </c>
      <c r="K69" s="80">
        <v>0.05</v>
      </c>
      <c r="L69" s="79" t="s">
        <v>56</v>
      </c>
      <c r="M69" s="79" t="s">
        <v>56</v>
      </c>
      <c r="N69" s="127" t="s">
        <v>56</v>
      </c>
      <c r="O69" s="79" t="s">
        <v>56</v>
      </c>
      <c r="P69" s="79" t="s">
        <v>56</v>
      </c>
      <c r="Q69" s="81">
        <f t="shared" si="29"/>
        <v>122.10000000000001</v>
      </c>
      <c r="R69" s="81">
        <f t="shared" si="30"/>
        <v>122.10000000000001</v>
      </c>
      <c r="S69" s="82">
        <f t="shared" si="31"/>
        <v>3663.0000000000005</v>
      </c>
      <c r="T69" s="82">
        <f t="shared" si="31"/>
        <v>3663.0000000000005</v>
      </c>
      <c r="U69" s="83">
        <f t="shared" si="32"/>
        <v>44566.5</v>
      </c>
      <c r="V69" s="82">
        <f t="shared" si="32"/>
        <v>44566.5</v>
      </c>
      <c r="W69" s="81">
        <f>U69*0.4</f>
        <v>17826.600000000002</v>
      </c>
      <c r="X69" s="81">
        <f>V69*0.4</f>
        <v>17826.600000000002</v>
      </c>
      <c r="Y69" s="8" t="s">
        <v>171</v>
      </c>
    </row>
    <row r="70" spans="1:25" ht="57.75" customHeight="1" thickBot="1">
      <c r="A70"/>
      <c r="B70" s="74" t="s">
        <v>22</v>
      </c>
      <c r="C70" s="74" t="s">
        <v>23</v>
      </c>
      <c r="D70" s="75" t="s">
        <v>61</v>
      </c>
      <c r="E70" s="74">
        <v>2</v>
      </c>
      <c r="F70" s="74" t="s">
        <v>31</v>
      </c>
      <c r="G70" s="76" t="s">
        <v>62</v>
      </c>
      <c r="H70" s="77" t="s">
        <v>27</v>
      </c>
      <c r="I70" s="79">
        <v>803</v>
      </c>
      <c r="J70" s="79">
        <v>0.05</v>
      </c>
      <c r="K70" s="80">
        <v>0.05</v>
      </c>
      <c r="L70" s="79" t="s">
        <v>28</v>
      </c>
      <c r="M70" s="79" t="s">
        <v>28</v>
      </c>
      <c r="N70" s="79" t="s">
        <v>28</v>
      </c>
      <c r="O70" s="79" t="s">
        <v>28</v>
      </c>
      <c r="P70" s="79" t="s">
        <v>28</v>
      </c>
      <c r="Q70" s="82">
        <f t="shared" si="29"/>
        <v>40.150000000000006</v>
      </c>
      <c r="R70" s="82">
        <f t="shared" si="30"/>
        <v>40.150000000000006</v>
      </c>
      <c r="S70" s="82">
        <f t="shared" si="31"/>
        <v>1204.5000000000002</v>
      </c>
      <c r="T70" s="82">
        <f t="shared" si="31"/>
        <v>1204.5000000000002</v>
      </c>
      <c r="U70" s="83">
        <f t="shared" si="32"/>
        <v>14654.750000000002</v>
      </c>
      <c r="V70" s="82">
        <f t="shared" si="32"/>
        <v>14654.750000000002</v>
      </c>
      <c r="W70" s="81">
        <f>U70</f>
        <v>14654.750000000002</v>
      </c>
      <c r="X70" s="81">
        <f>V70</f>
        <v>14654.750000000002</v>
      </c>
      <c r="Y70" s="8" t="s">
        <v>63</v>
      </c>
    </row>
    <row r="71" spans="1:25" s="20" customFormat="1" ht="57.75" customHeight="1" thickBot="1">
      <c r="A71" s="101"/>
      <c r="B71" s="74" t="s">
        <v>22</v>
      </c>
      <c r="C71" s="74" t="s">
        <v>23</v>
      </c>
      <c r="D71" s="75" t="s">
        <v>64</v>
      </c>
      <c r="E71" s="74">
        <v>2</v>
      </c>
      <c r="F71" s="74" t="s">
        <v>25</v>
      </c>
      <c r="G71" s="76" t="s">
        <v>65</v>
      </c>
      <c r="H71" s="77" t="s">
        <v>27</v>
      </c>
      <c r="I71" s="79">
        <v>331</v>
      </c>
      <c r="J71" s="79">
        <v>0.05</v>
      </c>
      <c r="K71" s="80">
        <v>0.05</v>
      </c>
      <c r="L71" s="79" t="s">
        <v>28</v>
      </c>
      <c r="M71" s="79" t="s">
        <v>28</v>
      </c>
      <c r="N71" s="79" t="s">
        <v>28</v>
      </c>
      <c r="O71" s="79" t="s">
        <v>28</v>
      </c>
      <c r="P71" s="79" t="s">
        <v>28</v>
      </c>
      <c r="Q71" s="81">
        <f t="shared" si="29"/>
        <v>16.55</v>
      </c>
      <c r="R71" s="81">
        <f t="shared" si="30"/>
        <v>16.55</v>
      </c>
      <c r="S71" s="82">
        <f t="shared" si="31"/>
        <v>496.5</v>
      </c>
      <c r="T71" s="82">
        <f t="shared" si="31"/>
        <v>496.5</v>
      </c>
      <c r="U71" s="83">
        <f t="shared" si="32"/>
        <v>6040.75</v>
      </c>
      <c r="V71" s="82">
        <f t="shared" si="32"/>
        <v>6040.75</v>
      </c>
      <c r="W71" s="81">
        <v>895.1625000000001</v>
      </c>
      <c r="X71" s="81">
        <v>895.1625000000001</v>
      </c>
      <c r="Y71" s="102" t="s">
        <v>164</v>
      </c>
    </row>
    <row r="72" spans="1:25" ht="57.75" customHeight="1" thickBot="1">
      <c r="A72"/>
      <c r="B72" s="74" t="s">
        <v>22</v>
      </c>
      <c r="C72" s="74" t="s">
        <v>23</v>
      </c>
      <c r="D72" s="75" t="s">
        <v>66</v>
      </c>
      <c r="E72" s="74">
        <v>2</v>
      </c>
      <c r="F72" s="74" t="s">
        <v>31</v>
      </c>
      <c r="G72" s="76" t="s">
        <v>67</v>
      </c>
      <c r="H72" s="77" t="s">
        <v>27</v>
      </c>
      <c r="I72" s="79">
        <v>374</v>
      </c>
      <c r="J72" s="79">
        <v>0.05</v>
      </c>
      <c r="K72" s="80">
        <v>0.05</v>
      </c>
      <c r="L72" s="79" t="s">
        <v>28</v>
      </c>
      <c r="M72" s="79" t="s">
        <v>28</v>
      </c>
      <c r="N72" s="79" t="s">
        <v>28</v>
      </c>
      <c r="O72" s="79" t="s">
        <v>28</v>
      </c>
      <c r="P72" s="79" t="s">
        <v>28</v>
      </c>
      <c r="Q72" s="81">
        <f t="shared" si="29"/>
        <v>18.7</v>
      </c>
      <c r="R72" s="81">
        <f t="shared" si="30"/>
        <v>18.7</v>
      </c>
      <c r="S72" s="82">
        <f t="shared" si="31"/>
        <v>561</v>
      </c>
      <c r="T72" s="82">
        <f t="shared" si="31"/>
        <v>561</v>
      </c>
      <c r="U72" s="83">
        <f t="shared" si="32"/>
        <v>6825.5</v>
      </c>
      <c r="V72" s="82">
        <f t="shared" si="32"/>
        <v>6825.5</v>
      </c>
      <c r="W72" s="81">
        <f>U72*0.1</f>
        <v>682.5500000000001</v>
      </c>
      <c r="X72" s="81">
        <f>V72*0.1</f>
        <v>682.5500000000001</v>
      </c>
      <c r="Y72" s="8" t="s">
        <v>125</v>
      </c>
    </row>
    <row r="73" spans="1:25" ht="57.75" customHeight="1" thickBot="1">
      <c r="A73"/>
      <c r="B73" s="74" t="s">
        <v>22</v>
      </c>
      <c r="C73" s="74" t="s">
        <v>23</v>
      </c>
      <c r="D73" s="75" t="s">
        <v>57</v>
      </c>
      <c r="E73" s="74">
        <v>2</v>
      </c>
      <c r="F73" s="74" t="s">
        <v>31</v>
      </c>
      <c r="G73" s="76" t="s">
        <v>69</v>
      </c>
      <c r="H73" s="79" t="s">
        <v>144</v>
      </c>
      <c r="I73" s="79">
        <v>629</v>
      </c>
      <c r="J73" s="79" t="s">
        <v>28</v>
      </c>
      <c r="K73" s="79" t="s">
        <v>28</v>
      </c>
      <c r="L73" s="79" t="s">
        <v>28</v>
      </c>
      <c r="M73" s="79" t="s">
        <v>28</v>
      </c>
      <c r="N73" s="79" t="s">
        <v>28</v>
      </c>
      <c r="O73" s="79" t="s">
        <v>28</v>
      </c>
      <c r="P73" s="79" t="s">
        <v>28</v>
      </c>
      <c r="Q73" s="79">
        <v>9.46</v>
      </c>
      <c r="R73" s="81">
        <v>4.84</v>
      </c>
      <c r="S73" s="82">
        <f t="shared" si="31"/>
        <v>283.8</v>
      </c>
      <c r="T73" s="82">
        <f t="shared" si="31"/>
        <v>145.2</v>
      </c>
      <c r="U73" s="83">
        <f t="shared" si="32"/>
        <v>3452.9</v>
      </c>
      <c r="V73" s="82">
        <f t="shared" si="32"/>
        <v>1766.6</v>
      </c>
      <c r="W73" s="81">
        <f>U73</f>
        <v>3452.9</v>
      </c>
      <c r="X73" s="81">
        <f>V73</f>
        <v>1766.6</v>
      </c>
      <c r="Y73" s="8" t="s">
        <v>126</v>
      </c>
    </row>
    <row r="74" spans="1:25" ht="21.6" customHeight="1" thickBot="1">
      <c r="A74"/>
      <c r="B74" s="181" t="s">
        <v>39</v>
      </c>
      <c r="C74" s="182"/>
      <c r="D74" s="182"/>
      <c r="E74" s="182"/>
      <c r="F74" s="182"/>
      <c r="G74" s="182"/>
      <c r="H74" s="182"/>
      <c r="I74" s="182"/>
      <c r="J74" s="182"/>
      <c r="K74" s="182"/>
      <c r="L74" s="182"/>
      <c r="M74" s="182"/>
      <c r="N74" s="182"/>
      <c r="O74" s="182"/>
      <c r="P74" s="182"/>
      <c r="Q74" s="182"/>
      <c r="R74" s="182"/>
      <c r="S74" s="182"/>
      <c r="T74" s="182"/>
      <c r="U74" s="182"/>
      <c r="V74" s="229"/>
      <c r="W74" s="128"/>
      <c r="X74" s="129"/>
      <c r="Y74" s="1"/>
    </row>
    <row r="75" spans="1:25" ht="57.75" customHeight="1" thickBot="1">
      <c r="A75"/>
      <c r="B75" s="74" t="s">
        <v>22</v>
      </c>
      <c r="C75" s="74" t="s">
        <v>23</v>
      </c>
      <c r="D75" s="75" t="s">
        <v>57</v>
      </c>
      <c r="E75" s="74">
        <v>2</v>
      </c>
      <c r="F75" s="130" t="s">
        <v>25</v>
      </c>
      <c r="G75" s="76" t="s">
        <v>70</v>
      </c>
      <c r="H75" s="77" t="s">
        <v>42</v>
      </c>
      <c r="I75" s="78" t="s">
        <v>28</v>
      </c>
      <c r="J75" s="78" t="s">
        <v>28</v>
      </c>
      <c r="K75" s="78" t="s">
        <v>28</v>
      </c>
      <c r="L75" s="78">
        <v>0.28</v>
      </c>
      <c r="M75" s="78">
        <v>8</v>
      </c>
      <c r="N75" s="78">
        <v>24</v>
      </c>
      <c r="O75" s="78">
        <v>2185</v>
      </c>
      <c r="P75" s="78">
        <v>390</v>
      </c>
      <c r="Q75" s="81">
        <f>L75*O75*0.0036*M75</f>
        <v>17.61984</v>
      </c>
      <c r="R75" s="81">
        <f>L75*P75*0.0036*M75</f>
        <v>3.14496</v>
      </c>
      <c r="S75" s="81">
        <f>Q75*N75</f>
        <v>422.87616</v>
      </c>
      <c r="T75" s="81">
        <f>R75*N75</f>
        <v>75.47904</v>
      </c>
      <c r="U75" s="81">
        <f aca="true" t="shared" si="33" ref="U75">Q75*365</f>
        <v>6431.2416</v>
      </c>
      <c r="V75" s="81">
        <f aca="true" t="shared" si="34" ref="V75">R75*365</f>
        <v>1147.9104</v>
      </c>
      <c r="W75" s="81">
        <v>1254.092112</v>
      </c>
      <c r="X75" s="81">
        <v>624.4632576</v>
      </c>
      <c r="Y75" s="8" t="s">
        <v>130</v>
      </c>
    </row>
    <row r="76" spans="1:25" ht="57.75" customHeight="1" thickBot="1">
      <c r="A76"/>
      <c r="B76" s="74" t="s">
        <v>22</v>
      </c>
      <c r="C76" s="74" t="s">
        <v>23</v>
      </c>
      <c r="D76" s="75" t="s">
        <v>71</v>
      </c>
      <c r="E76" s="74">
        <v>2</v>
      </c>
      <c r="F76" s="131" t="s">
        <v>25</v>
      </c>
      <c r="G76" s="76" t="s">
        <v>72</v>
      </c>
      <c r="H76" s="77" t="s">
        <v>42</v>
      </c>
      <c r="I76" s="78" t="s">
        <v>28</v>
      </c>
      <c r="J76" s="78" t="s">
        <v>28</v>
      </c>
      <c r="K76" s="78" t="s">
        <v>28</v>
      </c>
      <c r="L76" s="78" t="s">
        <v>28</v>
      </c>
      <c r="M76" s="78" t="s">
        <v>28</v>
      </c>
      <c r="N76" s="78" t="s">
        <v>28</v>
      </c>
      <c r="O76" s="78" t="s">
        <v>28</v>
      </c>
      <c r="P76" s="78" t="s">
        <v>28</v>
      </c>
      <c r="Q76" s="81">
        <v>96.88</v>
      </c>
      <c r="R76" s="81">
        <v>175.04</v>
      </c>
      <c r="S76" s="81">
        <f aca="true" t="shared" si="35" ref="S76:T82">Q76*30</f>
        <v>2906.3999999999996</v>
      </c>
      <c r="T76" s="81">
        <f t="shared" si="35"/>
        <v>5251.2</v>
      </c>
      <c r="U76" s="81">
        <f aca="true" t="shared" si="36" ref="U76:V82">Q76*365</f>
        <v>35361.2</v>
      </c>
      <c r="V76" s="81">
        <f t="shared" si="36"/>
        <v>63889.6</v>
      </c>
      <c r="W76" s="81">
        <f>U76</f>
        <v>35361.2</v>
      </c>
      <c r="X76" s="81">
        <f>V76*0.65</f>
        <v>41528.24</v>
      </c>
      <c r="Y76" s="8" t="s">
        <v>73</v>
      </c>
    </row>
    <row r="77" spans="1:25" ht="57.75" customHeight="1" thickBot="1">
      <c r="A77"/>
      <c r="B77" s="74" t="s">
        <v>22</v>
      </c>
      <c r="C77" s="74" t="s">
        <v>23</v>
      </c>
      <c r="D77" s="75" t="s">
        <v>74</v>
      </c>
      <c r="E77" s="74">
        <v>2</v>
      </c>
      <c r="F77" s="74" t="s">
        <v>25</v>
      </c>
      <c r="G77" s="76" t="s">
        <v>75</v>
      </c>
      <c r="H77" s="77" t="s">
        <v>42</v>
      </c>
      <c r="I77" s="78" t="s">
        <v>28</v>
      </c>
      <c r="J77" s="78" t="s">
        <v>28</v>
      </c>
      <c r="K77" s="78" t="s">
        <v>28</v>
      </c>
      <c r="L77" s="78">
        <v>8</v>
      </c>
      <c r="M77" s="78">
        <v>24</v>
      </c>
      <c r="N77" s="78">
        <v>30</v>
      </c>
      <c r="O77" s="78">
        <v>7</v>
      </c>
      <c r="P77" s="78">
        <v>120</v>
      </c>
      <c r="Q77" s="81">
        <f>L77*O77*M77*0.0036</f>
        <v>4.8384</v>
      </c>
      <c r="R77" s="81">
        <f>L77*P77*M77*0.0036</f>
        <v>82.944</v>
      </c>
      <c r="S77" s="81">
        <f t="shared" si="35"/>
        <v>145.152</v>
      </c>
      <c r="T77" s="81">
        <f t="shared" si="35"/>
        <v>2488.32</v>
      </c>
      <c r="U77" s="81">
        <f t="shared" si="36"/>
        <v>1766.016</v>
      </c>
      <c r="V77" s="81">
        <f t="shared" si="36"/>
        <v>30274.56</v>
      </c>
      <c r="W77" s="81">
        <f>U77</f>
        <v>1766.016</v>
      </c>
      <c r="X77" s="81">
        <f>V77*0.42</f>
        <v>12715.315200000001</v>
      </c>
      <c r="Y77" s="8" t="s">
        <v>129</v>
      </c>
    </row>
    <row r="78" spans="1:25" ht="57.75" customHeight="1" thickBot="1">
      <c r="A78"/>
      <c r="B78" s="74" t="s">
        <v>22</v>
      </c>
      <c r="C78" s="74" t="s">
        <v>23</v>
      </c>
      <c r="D78" s="75" t="s">
        <v>77</v>
      </c>
      <c r="E78" s="74">
        <v>2</v>
      </c>
      <c r="F78" s="74" t="s">
        <v>25</v>
      </c>
      <c r="G78" s="76" t="s">
        <v>162</v>
      </c>
      <c r="H78" s="77" t="s">
        <v>42</v>
      </c>
      <c r="I78" s="78" t="s">
        <v>28</v>
      </c>
      <c r="J78" s="78" t="s">
        <v>28</v>
      </c>
      <c r="K78" s="78" t="s">
        <v>28</v>
      </c>
      <c r="L78" s="78" t="s">
        <v>28</v>
      </c>
      <c r="M78" s="78" t="s">
        <v>28</v>
      </c>
      <c r="N78" s="78" t="s">
        <v>28</v>
      </c>
      <c r="O78" s="78" t="s">
        <v>28</v>
      </c>
      <c r="P78" s="78" t="s">
        <v>28</v>
      </c>
      <c r="Q78" s="81">
        <v>8.64</v>
      </c>
      <c r="R78" s="81">
        <v>8.64</v>
      </c>
      <c r="S78" s="81">
        <f t="shared" si="35"/>
        <v>259.20000000000005</v>
      </c>
      <c r="T78" s="81">
        <f t="shared" si="35"/>
        <v>259.20000000000005</v>
      </c>
      <c r="U78" s="81">
        <f t="shared" si="36"/>
        <v>3153.6000000000004</v>
      </c>
      <c r="V78" s="81">
        <f t="shared" si="36"/>
        <v>3153.6000000000004</v>
      </c>
      <c r="W78" s="81">
        <f>U78*0.5</f>
        <v>1576.8000000000002</v>
      </c>
      <c r="X78" s="81">
        <f>V78*0.5</f>
        <v>1576.8000000000002</v>
      </c>
      <c r="Y78" s="8" t="s">
        <v>131</v>
      </c>
    </row>
    <row r="79" spans="1:25" ht="57.75" customHeight="1" thickBot="1">
      <c r="A79"/>
      <c r="B79" s="74" t="s">
        <v>22</v>
      </c>
      <c r="C79" s="74" t="s">
        <v>23</v>
      </c>
      <c r="D79" s="75" t="s">
        <v>79</v>
      </c>
      <c r="E79" s="74">
        <v>2</v>
      </c>
      <c r="F79" s="74" t="s">
        <v>31</v>
      </c>
      <c r="G79" s="76" t="s">
        <v>80</v>
      </c>
      <c r="H79" s="77" t="s">
        <v>42</v>
      </c>
      <c r="I79" s="78" t="s">
        <v>28</v>
      </c>
      <c r="J79" s="78" t="s">
        <v>28</v>
      </c>
      <c r="K79" s="78" t="s">
        <v>28</v>
      </c>
      <c r="L79" s="78">
        <v>2.25</v>
      </c>
      <c r="M79" s="78">
        <v>24</v>
      </c>
      <c r="N79" s="78">
        <v>30</v>
      </c>
      <c r="O79" s="78">
        <v>50</v>
      </c>
      <c r="P79" s="78">
        <v>193</v>
      </c>
      <c r="Q79" s="81">
        <f>L79*O79*M79*0.0036</f>
        <v>9.719999999999999</v>
      </c>
      <c r="R79" s="81">
        <f>L79*P79*M79*0.0036</f>
        <v>37.5192</v>
      </c>
      <c r="S79" s="81">
        <f t="shared" si="35"/>
        <v>291.59999999999997</v>
      </c>
      <c r="T79" s="81">
        <f t="shared" si="35"/>
        <v>1125.576</v>
      </c>
      <c r="U79" s="81">
        <f t="shared" si="36"/>
        <v>3547.7999999999997</v>
      </c>
      <c r="V79" s="81">
        <f t="shared" si="36"/>
        <v>13694.508</v>
      </c>
      <c r="W79" s="81">
        <v>2838.24</v>
      </c>
      <c r="X79" s="81">
        <v>3560.57208</v>
      </c>
      <c r="Y79" s="8" t="s">
        <v>133</v>
      </c>
    </row>
    <row r="80" spans="1:25" ht="57.75" customHeight="1" thickBot="1">
      <c r="A80"/>
      <c r="B80" s="74" t="s">
        <v>22</v>
      </c>
      <c r="C80" s="74" t="s">
        <v>23</v>
      </c>
      <c r="D80" s="75" t="s">
        <v>79</v>
      </c>
      <c r="E80" s="74">
        <v>2</v>
      </c>
      <c r="F80" s="74" t="s">
        <v>31</v>
      </c>
      <c r="G80" s="76" t="s">
        <v>81</v>
      </c>
      <c r="H80" s="77" t="s">
        <v>42</v>
      </c>
      <c r="I80" s="78" t="s">
        <v>28</v>
      </c>
      <c r="J80" s="78" t="s">
        <v>28</v>
      </c>
      <c r="K80" s="78" t="s">
        <v>28</v>
      </c>
      <c r="L80" s="78">
        <v>2.25</v>
      </c>
      <c r="M80" s="78">
        <v>24</v>
      </c>
      <c r="N80" s="78">
        <v>30</v>
      </c>
      <c r="O80" s="78">
        <v>50</v>
      </c>
      <c r="P80" s="78">
        <v>193</v>
      </c>
      <c r="Q80" s="81">
        <f>L80*O80*M80*0.0036</f>
        <v>9.719999999999999</v>
      </c>
      <c r="R80" s="81">
        <f>L80*P80*M80*0.0036</f>
        <v>37.5192</v>
      </c>
      <c r="S80" s="81">
        <f t="shared" si="35"/>
        <v>291.59999999999997</v>
      </c>
      <c r="T80" s="81">
        <f t="shared" si="35"/>
        <v>1125.576</v>
      </c>
      <c r="U80" s="81">
        <f>Q80*365</f>
        <v>3547.7999999999997</v>
      </c>
      <c r="V80" s="81">
        <f t="shared" si="36"/>
        <v>13694.508</v>
      </c>
      <c r="W80" s="81">
        <v>2838.24</v>
      </c>
      <c r="X80" s="81">
        <v>3560.57208</v>
      </c>
      <c r="Y80" s="8" t="s">
        <v>134</v>
      </c>
    </row>
    <row r="81" spans="1:25" ht="57.75" customHeight="1" thickBot="1">
      <c r="A81"/>
      <c r="B81" s="74" t="s">
        <v>22</v>
      </c>
      <c r="C81" s="74" t="s">
        <v>23</v>
      </c>
      <c r="D81" s="75" t="s">
        <v>33</v>
      </c>
      <c r="E81" s="74">
        <v>2</v>
      </c>
      <c r="F81" s="74" t="s">
        <v>31</v>
      </c>
      <c r="G81" s="76" t="s">
        <v>82</v>
      </c>
      <c r="H81" s="77" t="s">
        <v>42</v>
      </c>
      <c r="I81" s="78" t="s">
        <v>28</v>
      </c>
      <c r="J81" s="78" t="s">
        <v>28</v>
      </c>
      <c r="K81" s="78" t="s">
        <v>28</v>
      </c>
      <c r="L81" s="78">
        <v>10</v>
      </c>
      <c r="M81" s="78">
        <v>24</v>
      </c>
      <c r="N81" s="78">
        <v>30</v>
      </c>
      <c r="O81" s="78">
        <v>50</v>
      </c>
      <c r="P81" s="78">
        <v>50</v>
      </c>
      <c r="Q81" s="81">
        <f>L81*O81*M81*0.0036</f>
        <v>43.199999999999996</v>
      </c>
      <c r="R81" s="81">
        <f>L81*P81*M81*0.0036</f>
        <v>43.199999999999996</v>
      </c>
      <c r="S81" s="81">
        <f t="shared" si="35"/>
        <v>1295.9999999999998</v>
      </c>
      <c r="T81" s="81">
        <f t="shared" si="35"/>
        <v>1295.9999999999998</v>
      </c>
      <c r="U81" s="81">
        <f t="shared" si="36"/>
        <v>15767.999999999998</v>
      </c>
      <c r="V81" s="81">
        <f t="shared" si="36"/>
        <v>15767.999999999998</v>
      </c>
      <c r="W81" s="81">
        <f>U81</f>
        <v>15767.999999999998</v>
      </c>
      <c r="X81" s="81">
        <f>V81</f>
        <v>15767.999999999998</v>
      </c>
      <c r="Y81" s="8" t="s">
        <v>135</v>
      </c>
    </row>
    <row r="82" spans="1:25" ht="57.75" customHeight="1" thickBot="1">
      <c r="A82"/>
      <c r="B82" s="74" t="s">
        <v>22</v>
      </c>
      <c r="C82" s="74" t="s">
        <v>23</v>
      </c>
      <c r="D82" s="75" t="s">
        <v>83</v>
      </c>
      <c r="E82" s="74">
        <v>2</v>
      </c>
      <c r="F82" s="74" t="s">
        <v>25</v>
      </c>
      <c r="G82" s="76" t="s">
        <v>84</v>
      </c>
      <c r="H82" s="77" t="s">
        <v>42</v>
      </c>
      <c r="I82" s="78" t="s">
        <v>28</v>
      </c>
      <c r="J82" s="78" t="s">
        <v>28</v>
      </c>
      <c r="K82" s="78" t="s">
        <v>28</v>
      </c>
      <c r="L82" s="78">
        <v>10</v>
      </c>
      <c r="M82" s="78">
        <v>24</v>
      </c>
      <c r="N82" s="78">
        <v>30</v>
      </c>
      <c r="O82" s="78">
        <v>50</v>
      </c>
      <c r="P82" s="78">
        <v>50</v>
      </c>
      <c r="Q82" s="81">
        <f>L82*O82*M82*0.0036</f>
        <v>43.199999999999996</v>
      </c>
      <c r="R82" s="81">
        <f>L82*P82*M82*0.0036</f>
        <v>43.199999999999996</v>
      </c>
      <c r="S82" s="81">
        <f t="shared" si="35"/>
        <v>1295.9999999999998</v>
      </c>
      <c r="T82" s="81">
        <f t="shared" si="35"/>
        <v>1295.9999999999998</v>
      </c>
      <c r="U82" s="81">
        <f t="shared" si="36"/>
        <v>15767.999999999998</v>
      </c>
      <c r="V82" s="81">
        <f t="shared" si="36"/>
        <v>15767.999999999998</v>
      </c>
      <c r="W82" s="81">
        <f>T82</f>
        <v>1295.9999999999998</v>
      </c>
      <c r="X82" s="81">
        <f>V82</f>
        <v>15767.999999999998</v>
      </c>
      <c r="Y82" s="5" t="s">
        <v>136</v>
      </c>
    </row>
    <row r="83" spans="1:25" ht="26.45" customHeight="1" thickBot="1">
      <c r="A83"/>
      <c r="B83" s="166" t="s">
        <v>100</v>
      </c>
      <c r="C83" s="167"/>
      <c r="D83" s="167"/>
      <c r="E83" s="167"/>
      <c r="F83" s="167"/>
      <c r="G83" s="167"/>
      <c r="H83" s="167"/>
      <c r="I83" s="167"/>
      <c r="J83" s="167"/>
      <c r="K83" s="167"/>
      <c r="L83" s="167"/>
      <c r="M83" s="167"/>
      <c r="N83" s="167"/>
      <c r="O83" s="167"/>
      <c r="P83" s="167"/>
      <c r="Q83" s="167"/>
      <c r="R83" s="167"/>
      <c r="S83" s="167"/>
      <c r="T83" s="168"/>
      <c r="U83" s="18">
        <f>SUM(U67:U82)</f>
        <v>261040.05759999997</v>
      </c>
      <c r="V83" s="132">
        <f>SUM(V67:V82)</f>
        <v>331400.7863999999</v>
      </c>
      <c r="W83" s="132">
        <f>SUM(W67:W82)</f>
        <v>146328.30061200002</v>
      </c>
      <c r="X83" s="132">
        <f>SUM(X67:X82)</f>
        <v>177045.37511760005</v>
      </c>
      <c r="Y83" s="5"/>
    </row>
    <row r="84" s="169" customFormat="1" ht="26.45" customHeight="1" thickBot="1"/>
    <row r="85" spans="2:25" ht="23.45" customHeight="1" thickBot="1">
      <c r="B85" s="170" t="s">
        <v>101</v>
      </c>
      <c r="C85" s="171"/>
      <c r="D85" s="171"/>
      <c r="E85" s="171"/>
      <c r="F85" s="171"/>
      <c r="G85" s="171"/>
      <c r="H85" s="171"/>
      <c r="I85" s="171"/>
      <c r="J85" s="171"/>
      <c r="K85" s="171"/>
      <c r="L85" s="171"/>
      <c r="M85" s="171"/>
      <c r="N85" s="171"/>
      <c r="O85" s="171"/>
      <c r="P85" s="171"/>
      <c r="Q85" s="171"/>
      <c r="R85" s="171"/>
      <c r="S85" s="171"/>
      <c r="T85" s="171"/>
      <c r="U85" s="171"/>
      <c r="V85" s="233"/>
      <c r="W85" s="233"/>
      <c r="X85" s="234"/>
      <c r="Y85" s="5"/>
    </row>
    <row r="86" spans="1:25" ht="57.75" customHeight="1" thickBot="1">
      <c r="A86"/>
      <c r="B86" s="85" t="s">
        <v>22</v>
      </c>
      <c r="C86" s="85" t="s">
        <v>23</v>
      </c>
      <c r="D86" s="86" t="s">
        <v>54</v>
      </c>
      <c r="E86" s="85">
        <v>2</v>
      </c>
      <c r="F86" s="85" t="s">
        <v>31</v>
      </c>
      <c r="G86" s="87" t="s">
        <v>55</v>
      </c>
      <c r="H86" s="88" t="s">
        <v>27</v>
      </c>
      <c r="I86" s="89">
        <v>554</v>
      </c>
      <c r="J86" s="90">
        <v>0.05</v>
      </c>
      <c r="K86" s="90">
        <v>0.05</v>
      </c>
      <c r="L86" s="90" t="s">
        <v>56</v>
      </c>
      <c r="M86" s="90" t="s">
        <v>56</v>
      </c>
      <c r="N86" s="133" t="s">
        <v>56</v>
      </c>
      <c r="O86" s="90" t="s">
        <v>56</v>
      </c>
      <c r="P86" s="90" t="s">
        <v>56</v>
      </c>
      <c r="Q86" s="92">
        <f aca="true" t="shared" si="37" ref="Q86:Q91">I86*J86</f>
        <v>27.700000000000003</v>
      </c>
      <c r="R86" s="92">
        <f aca="true" t="shared" si="38" ref="R86:R91">I86*K86</f>
        <v>27.700000000000003</v>
      </c>
      <c r="S86" s="93">
        <f>Q86*30</f>
        <v>831.0000000000001</v>
      </c>
      <c r="T86" s="93">
        <f>R86*30</f>
        <v>831.0000000000001</v>
      </c>
      <c r="U86" s="92">
        <f>Q86*365</f>
        <v>10110.500000000002</v>
      </c>
      <c r="V86" s="92">
        <f>R86*365</f>
        <v>10110.500000000002</v>
      </c>
      <c r="W86" s="92">
        <f>U86</f>
        <v>10110.500000000002</v>
      </c>
      <c r="X86" s="92">
        <f>V86</f>
        <v>10110.500000000002</v>
      </c>
      <c r="Y86" s="8" t="s">
        <v>105</v>
      </c>
    </row>
    <row r="87" spans="1:25" ht="57.75" customHeight="1" thickBot="1">
      <c r="A87"/>
      <c r="B87" s="85" t="s">
        <v>22</v>
      </c>
      <c r="C87" s="85" t="s">
        <v>23</v>
      </c>
      <c r="D87" s="86" t="s">
        <v>57</v>
      </c>
      <c r="E87" s="85">
        <v>2</v>
      </c>
      <c r="F87" s="85" t="s">
        <v>25</v>
      </c>
      <c r="G87" s="87" t="s">
        <v>58</v>
      </c>
      <c r="H87" s="88" t="s">
        <v>27</v>
      </c>
      <c r="I87" s="90">
        <v>4947</v>
      </c>
      <c r="J87" s="90">
        <v>0.05</v>
      </c>
      <c r="K87" s="91">
        <v>0.05</v>
      </c>
      <c r="L87" s="90" t="s">
        <v>56</v>
      </c>
      <c r="M87" s="90" t="s">
        <v>56</v>
      </c>
      <c r="N87" s="90" t="s">
        <v>56</v>
      </c>
      <c r="O87" s="90" t="s">
        <v>56</v>
      </c>
      <c r="P87" s="90" t="s">
        <v>56</v>
      </c>
      <c r="Q87" s="92">
        <f t="shared" si="37"/>
        <v>247.35000000000002</v>
      </c>
      <c r="R87" s="92">
        <f t="shared" si="38"/>
        <v>247.35000000000002</v>
      </c>
      <c r="S87" s="93">
        <f aca="true" t="shared" si="39" ref="S87:T92">Q87*30</f>
        <v>7420.500000000001</v>
      </c>
      <c r="T87" s="93">
        <f t="shared" si="39"/>
        <v>7420.500000000001</v>
      </c>
      <c r="U87" s="92">
        <f aca="true" t="shared" si="40" ref="U87:V92">Q87*365</f>
        <v>90282.75000000001</v>
      </c>
      <c r="V87" s="92">
        <f t="shared" si="40"/>
        <v>90282.75000000001</v>
      </c>
      <c r="W87" s="92">
        <f>U87*0.4</f>
        <v>36113.100000000006</v>
      </c>
      <c r="X87" s="92">
        <f>V87*0.4</f>
        <v>36113.100000000006</v>
      </c>
      <c r="Y87" s="8" t="s">
        <v>158</v>
      </c>
    </row>
    <row r="88" spans="1:25" ht="57.75" customHeight="1" thickBot="1">
      <c r="A88"/>
      <c r="B88" s="85" t="s">
        <v>22</v>
      </c>
      <c r="C88" s="85" t="s">
        <v>23</v>
      </c>
      <c r="D88" s="86" t="s">
        <v>59</v>
      </c>
      <c r="E88" s="85">
        <v>2</v>
      </c>
      <c r="F88" s="85" t="s">
        <v>25</v>
      </c>
      <c r="G88" s="87" t="s">
        <v>60</v>
      </c>
      <c r="H88" s="88" t="s">
        <v>27</v>
      </c>
      <c r="I88" s="90">
        <v>2475</v>
      </c>
      <c r="J88" s="90">
        <v>0.05</v>
      </c>
      <c r="K88" s="91">
        <v>0.05</v>
      </c>
      <c r="L88" s="90" t="s">
        <v>56</v>
      </c>
      <c r="M88" s="90" t="s">
        <v>56</v>
      </c>
      <c r="N88" s="133" t="s">
        <v>56</v>
      </c>
      <c r="O88" s="90" t="s">
        <v>56</v>
      </c>
      <c r="P88" s="90" t="s">
        <v>56</v>
      </c>
      <c r="Q88" s="92">
        <f t="shared" si="37"/>
        <v>123.75</v>
      </c>
      <c r="R88" s="92">
        <f t="shared" si="38"/>
        <v>123.75</v>
      </c>
      <c r="S88" s="93">
        <f t="shared" si="39"/>
        <v>3712.5</v>
      </c>
      <c r="T88" s="93">
        <f t="shared" si="39"/>
        <v>3712.5</v>
      </c>
      <c r="U88" s="94">
        <f t="shared" si="40"/>
        <v>45168.75</v>
      </c>
      <c r="V88" s="93">
        <f t="shared" si="40"/>
        <v>45168.75</v>
      </c>
      <c r="W88" s="92">
        <f>U88*0.3</f>
        <v>13550.625</v>
      </c>
      <c r="X88" s="92">
        <f>V88*0.3</f>
        <v>13550.625</v>
      </c>
      <c r="Y88" s="8" t="s">
        <v>172</v>
      </c>
    </row>
    <row r="89" spans="1:25" ht="57.75" customHeight="1" thickBot="1">
      <c r="A89"/>
      <c r="B89" s="85" t="s">
        <v>22</v>
      </c>
      <c r="C89" s="85" t="s">
        <v>23</v>
      </c>
      <c r="D89" s="86" t="s">
        <v>61</v>
      </c>
      <c r="E89" s="85">
        <v>2</v>
      </c>
      <c r="F89" s="85" t="s">
        <v>31</v>
      </c>
      <c r="G89" s="87" t="s">
        <v>62</v>
      </c>
      <c r="H89" s="88" t="s">
        <v>27</v>
      </c>
      <c r="I89" s="90">
        <v>812</v>
      </c>
      <c r="J89" s="90">
        <v>0.05</v>
      </c>
      <c r="K89" s="91">
        <v>0.05</v>
      </c>
      <c r="L89" s="90" t="s">
        <v>28</v>
      </c>
      <c r="M89" s="90" t="s">
        <v>28</v>
      </c>
      <c r="N89" s="90" t="s">
        <v>28</v>
      </c>
      <c r="O89" s="90" t="s">
        <v>28</v>
      </c>
      <c r="P89" s="90" t="s">
        <v>28</v>
      </c>
      <c r="Q89" s="93">
        <f t="shared" si="37"/>
        <v>40.6</v>
      </c>
      <c r="R89" s="93">
        <f t="shared" si="38"/>
        <v>40.6</v>
      </c>
      <c r="S89" s="93">
        <f t="shared" si="39"/>
        <v>1218</v>
      </c>
      <c r="T89" s="93">
        <f t="shared" si="39"/>
        <v>1218</v>
      </c>
      <c r="U89" s="94">
        <f t="shared" si="40"/>
        <v>14819</v>
      </c>
      <c r="V89" s="93">
        <f t="shared" si="40"/>
        <v>14819</v>
      </c>
      <c r="W89" s="92">
        <f>U89</f>
        <v>14819</v>
      </c>
      <c r="X89" s="92">
        <f>V89</f>
        <v>14819</v>
      </c>
      <c r="Y89" s="8" t="s">
        <v>63</v>
      </c>
    </row>
    <row r="90" spans="1:25" s="20" customFormat="1" ht="57.75" customHeight="1" thickBot="1">
      <c r="A90" s="101"/>
      <c r="B90" s="85" t="s">
        <v>22</v>
      </c>
      <c r="C90" s="85" t="s">
        <v>23</v>
      </c>
      <c r="D90" s="86" t="s">
        <v>64</v>
      </c>
      <c r="E90" s="85">
        <v>2</v>
      </c>
      <c r="F90" s="85" t="s">
        <v>25</v>
      </c>
      <c r="G90" s="87" t="s">
        <v>65</v>
      </c>
      <c r="H90" s="88" t="s">
        <v>27</v>
      </c>
      <c r="I90" s="90">
        <v>333</v>
      </c>
      <c r="J90" s="90">
        <v>0.05</v>
      </c>
      <c r="K90" s="91">
        <v>0.05</v>
      </c>
      <c r="L90" s="90" t="s">
        <v>28</v>
      </c>
      <c r="M90" s="90" t="s">
        <v>28</v>
      </c>
      <c r="N90" s="90" t="s">
        <v>28</v>
      </c>
      <c r="O90" s="90" t="s">
        <v>28</v>
      </c>
      <c r="P90" s="90" t="s">
        <v>28</v>
      </c>
      <c r="Q90" s="92">
        <f t="shared" si="37"/>
        <v>16.650000000000002</v>
      </c>
      <c r="R90" s="92">
        <f t="shared" si="38"/>
        <v>16.650000000000002</v>
      </c>
      <c r="S90" s="93">
        <f t="shared" si="39"/>
        <v>499.50000000000006</v>
      </c>
      <c r="T90" s="93">
        <f t="shared" si="39"/>
        <v>499.50000000000006</v>
      </c>
      <c r="U90" s="94">
        <f t="shared" si="40"/>
        <v>6077.250000000001</v>
      </c>
      <c r="V90" s="93">
        <f t="shared" si="40"/>
        <v>6077.250000000001</v>
      </c>
      <c r="W90" s="92">
        <v>895.1625000000001</v>
      </c>
      <c r="X90" s="92">
        <v>895.1625000000001</v>
      </c>
      <c r="Y90" s="102" t="s">
        <v>164</v>
      </c>
    </row>
    <row r="91" spans="1:25" ht="57.75" customHeight="1" thickBot="1">
      <c r="A91"/>
      <c r="B91" s="85" t="s">
        <v>22</v>
      </c>
      <c r="C91" s="85" t="s">
        <v>23</v>
      </c>
      <c r="D91" s="86" t="s">
        <v>66</v>
      </c>
      <c r="E91" s="85">
        <v>2</v>
      </c>
      <c r="F91" s="85" t="s">
        <v>31</v>
      </c>
      <c r="G91" s="87" t="s">
        <v>67</v>
      </c>
      <c r="H91" s="88" t="s">
        <v>27</v>
      </c>
      <c r="I91" s="90">
        <v>374</v>
      </c>
      <c r="J91" s="90">
        <v>0.05</v>
      </c>
      <c r="K91" s="91">
        <v>0.05</v>
      </c>
      <c r="L91" s="90" t="s">
        <v>28</v>
      </c>
      <c r="M91" s="90" t="s">
        <v>28</v>
      </c>
      <c r="N91" s="90" t="s">
        <v>28</v>
      </c>
      <c r="O91" s="90" t="s">
        <v>28</v>
      </c>
      <c r="P91" s="90" t="s">
        <v>28</v>
      </c>
      <c r="Q91" s="92">
        <f t="shared" si="37"/>
        <v>18.7</v>
      </c>
      <c r="R91" s="92">
        <f t="shared" si="38"/>
        <v>18.7</v>
      </c>
      <c r="S91" s="93">
        <f t="shared" si="39"/>
        <v>561</v>
      </c>
      <c r="T91" s="93">
        <f t="shared" si="39"/>
        <v>561</v>
      </c>
      <c r="U91" s="94">
        <f t="shared" si="40"/>
        <v>6825.5</v>
      </c>
      <c r="V91" s="93">
        <f t="shared" si="40"/>
        <v>6825.5</v>
      </c>
      <c r="W91" s="92">
        <f>U91*0.1</f>
        <v>682.5500000000001</v>
      </c>
      <c r="X91" s="92">
        <f>V91*0.1</f>
        <v>682.5500000000001</v>
      </c>
      <c r="Y91" s="8" t="s">
        <v>125</v>
      </c>
    </row>
    <row r="92" spans="1:25" ht="57.75" customHeight="1" thickBot="1">
      <c r="A92"/>
      <c r="B92" s="85" t="s">
        <v>22</v>
      </c>
      <c r="C92" s="85" t="s">
        <v>23</v>
      </c>
      <c r="D92" s="86" t="s">
        <v>57</v>
      </c>
      <c r="E92" s="85">
        <v>2</v>
      </c>
      <c r="F92" s="85" t="s">
        <v>31</v>
      </c>
      <c r="G92" s="87" t="s">
        <v>69</v>
      </c>
      <c r="H92" s="90" t="s">
        <v>144</v>
      </c>
      <c r="I92" s="90">
        <v>635</v>
      </c>
      <c r="J92" s="90" t="s">
        <v>28</v>
      </c>
      <c r="K92" s="90" t="s">
        <v>28</v>
      </c>
      <c r="L92" s="90" t="s">
        <v>28</v>
      </c>
      <c r="M92" s="90" t="s">
        <v>28</v>
      </c>
      <c r="N92" s="90" t="s">
        <v>28</v>
      </c>
      <c r="O92" s="90" t="s">
        <v>28</v>
      </c>
      <c r="P92" s="90" t="s">
        <v>28</v>
      </c>
      <c r="Q92" s="90">
        <v>9.55</v>
      </c>
      <c r="R92" s="92">
        <v>4.88</v>
      </c>
      <c r="S92" s="93">
        <f t="shared" si="39"/>
        <v>286.5</v>
      </c>
      <c r="T92" s="93">
        <f t="shared" si="39"/>
        <v>146.4</v>
      </c>
      <c r="U92" s="94">
        <f t="shared" si="40"/>
        <v>3485.7500000000005</v>
      </c>
      <c r="V92" s="93">
        <f t="shared" si="40"/>
        <v>1781.2</v>
      </c>
      <c r="W92" s="92">
        <f>U92</f>
        <v>3485.7500000000005</v>
      </c>
      <c r="X92" s="92">
        <f>V92</f>
        <v>1781.2</v>
      </c>
      <c r="Y92" s="8" t="s">
        <v>126</v>
      </c>
    </row>
    <row r="93" spans="1:25" ht="21.6" customHeight="1" thickBot="1">
      <c r="A93"/>
      <c r="B93" s="134" t="s">
        <v>39</v>
      </c>
      <c r="C93" s="135"/>
      <c r="D93" s="135"/>
      <c r="E93" s="135"/>
      <c r="F93" s="135"/>
      <c r="G93" s="135"/>
      <c r="H93" s="135"/>
      <c r="I93" s="135"/>
      <c r="J93" s="135"/>
      <c r="K93" s="135"/>
      <c r="L93" s="135"/>
      <c r="M93" s="135"/>
      <c r="N93" s="135"/>
      <c r="O93" s="135"/>
      <c r="P93" s="135"/>
      <c r="Q93" s="135"/>
      <c r="R93" s="135"/>
      <c r="S93" s="135"/>
      <c r="T93" s="135"/>
      <c r="U93" s="135"/>
      <c r="V93" s="136"/>
      <c r="W93" s="137"/>
      <c r="X93" s="138"/>
      <c r="Y93" s="1"/>
    </row>
    <row r="94" spans="1:25" ht="57.75" customHeight="1" thickBot="1">
      <c r="A94"/>
      <c r="B94" s="85" t="s">
        <v>22</v>
      </c>
      <c r="C94" s="85" t="s">
        <v>23</v>
      </c>
      <c r="D94" s="86" t="s">
        <v>57</v>
      </c>
      <c r="E94" s="85">
        <v>2</v>
      </c>
      <c r="F94" s="139" t="s">
        <v>25</v>
      </c>
      <c r="G94" s="87" t="s">
        <v>70</v>
      </c>
      <c r="H94" s="88" t="s">
        <v>42</v>
      </c>
      <c r="I94" s="89" t="s">
        <v>28</v>
      </c>
      <c r="J94" s="89" t="s">
        <v>28</v>
      </c>
      <c r="K94" s="89" t="s">
        <v>28</v>
      </c>
      <c r="L94" s="89">
        <v>0.28</v>
      </c>
      <c r="M94" s="89">
        <v>8</v>
      </c>
      <c r="N94" s="89">
        <v>24</v>
      </c>
      <c r="O94" s="89">
        <v>2185</v>
      </c>
      <c r="P94" s="89">
        <v>390</v>
      </c>
      <c r="Q94" s="92">
        <f>L94*O94*0.0036*M94</f>
        <v>17.61984</v>
      </c>
      <c r="R94" s="92">
        <f>L94*P94*0.0036*M94</f>
        <v>3.14496</v>
      </c>
      <c r="S94" s="92">
        <f>Q94*N94</f>
        <v>422.87616</v>
      </c>
      <c r="T94" s="92">
        <f>R94*N94</f>
        <v>75.47904</v>
      </c>
      <c r="U94" s="92">
        <f aca="true" t="shared" si="41" ref="U94">Q94*365</f>
        <v>6431.2416</v>
      </c>
      <c r="V94" s="92">
        <f aca="true" t="shared" si="42" ref="V94">R94*365</f>
        <v>1147.9104</v>
      </c>
      <c r="W94" s="92">
        <f>U94*0.195</f>
        <v>1254.092112</v>
      </c>
      <c r="X94" s="92">
        <f>V94*0.544</f>
        <v>624.4632576</v>
      </c>
      <c r="Y94" s="8" t="s">
        <v>130</v>
      </c>
    </row>
    <row r="95" spans="1:25" ht="57.75" customHeight="1" thickBot="1">
      <c r="A95"/>
      <c r="B95" s="85" t="s">
        <v>22</v>
      </c>
      <c r="C95" s="85" t="s">
        <v>23</v>
      </c>
      <c r="D95" s="86" t="s">
        <v>71</v>
      </c>
      <c r="E95" s="85">
        <v>2</v>
      </c>
      <c r="F95" s="140" t="s">
        <v>25</v>
      </c>
      <c r="G95" s="87" t="s">
        <v>72</v>
      </c>
      <c r="H95" s="88" t="s">
        <v>42</v>
      </c>
      <c r="I95" s="89" t="s">
        <v>28</v>
      </c>
      <c r="J95" s="89" t="s">
        <v>28</v>
      </c>
      <c r="K95" s="89" t="s">
        <v>28</v>
      </c>
      <c r="L95" s="89" t="s">
        <v>28</v>
      </c>
      <c r="M95" s="89" t="s">
        <v>28</v>
      </c>
      <c r="N95" s="89" t="s">
        <v>28</v>
      </c>
      <c r="O95" s="89" t="s">
        <v>28</v>
      </c>
      <c r="P95" s="89" t="s">
        <v>28</v>
      </c>
      <c r="Q95" s="92">
        <v>96.88</v>
      </c>
      <c r="R95" s="92">
        <v>175.04</v>
      </c>
      <c r="S95" s="92">
        <f aca="true" t="shared" si="43" ref="S95:T101">Q95*30</f>
        <v>2906.3999999999996</v>
      </c>
      <c r="T95" s="92">
        <f t="shared" si="43"/>
        <v>5251.2</v>
      </c>
      <c r="U95" s="92">
        <f aca="true" t="shared" si="44" ref="U95:V101">Q95*365</f>
        <v>35361.2</v>
      </c>
      <c r="V95" s="92">
        <f t="shared" si="44"/>
        <v>63889.6</v>
      </c>
      <c r="W95" s="92">
        <f>U95</f>
        <v>35361.2</v>
      </c>
      <c r="X95" s="92">
        <f>V95*0.65</f>
        <v>41528.24</v>
      </c>
      <c r="Y95" s="5" t="s">
        <v>73</v>
      </c>
    </row>
    <row r="96" spans="1:25" ht="57.75" customHeight="1" thickBot="1">
      <c r="A96"/>
      <c r="B96" s="85" t="s">
        <v>22</v>
      </c>
      <c r="C96" s="85" t="s">
        <v>23</v>
      </c>
      <c r="D96" s="86" t="s">
        <v>74</v>
      </c>
      <c r="E96" s="85">
        <v>2</v>
      </c>
      <c r="F96" s="85" t="s">
        <v>25</v>
      </c>
      <c r="G96" s="87" t="s">
        <v>75</v>
      </c>
      <c r="H96" s="88" t="s">
        <v>42</v>
      </c>
      <c r="I96" s="89" t="s">
        <v>28</v>
      </c>
      <c r="J96" s="89" t="s">
        <v>28</v>
      </c>
      <c r="K96" s="89" t="s">
        <v>28</v>
      </c>
      <c r="L96" s="89">
        <v>8</v>
      </c>
      <c r="M96" s="89">
        <v>24</v>
      </c>
      <c r="N96" s="89">
        <v>30</v>
      </c>
      <c r="O96" s="89">
        <v>7</v>
      </c>
      <c r="P96" s="89">
        <v>120</v>
      </c>
      <c r="Q96" s="92">
        <f>L96*O96*M96*0.0036</f>
        <v>4.8384</v>
      </c>
      <c r="R96" s="92">
        <f>L96*P96*M96*0.0036</f>
        <v>82.944</v>
      </c>
      <c r="S96" s="92">
        <f t="shared" si="43"/>
        <v>145.152</v>
      </c>
      <c r="T96" s="92">
        <f t="shared" si="43"/>
        <v>2488.32</v>
      </c>
      <c r="U96" s="92">
        <f t="shared" si="44"/>
        <v>1766.016</v>
      </c>
      <c r="V96" s="92">
        <f t="shared" si="44"/>
        <v>30274.56</v>
      </c>
      <c r="W96" s="92">
        <f>U96</f>
        <v>1766.016</v>
      </c>
      <c r="X96" s="92">
        <f>V96*0.42</f>
        <v>12715.315200000001</v>
      </c>
      <c r="Y96" s="8" t="s">
        <v>129</v>
      </c>
    </row>
    <row r="97" spans="1:25" ht="57.75" customHeight="1" thickBot="1">
      <c r="A97"/>
      <c r="B97" s="85" t="s">
        <v>22</v>
      </c>
      <c r="C97" s="85" t="s">
        <v>23</v>
      </c>
      <c r="D97" s="86" t="s">
        <v>77</v>
      </c>
      <c r="E97" s="85">
        <v>2</v>
      </c>
      <c r="F97" s="85" t="s">
        <v>25</v>
      </c>
      <c r="G97" s="87" t="s">
        <v>162</v>
      </c>
      <c r="H97" s="88" t="s">
        <v>42</v>
      </c>
      <c r="I97" s="89" t="s">
        <v>28</v>
      </c>
      <c r="J97" s="89" t="s">
        <v>28</v>
      </c>
      <c r="K97" s="89" t="s">
        <v>28</v>
      </c>
      <c r="L97" s="89" t="s">
        <v>28</v>
      </c>
      <c r="M97" s="89" t="s">
        <v>28</v>
      </c>
      <c r="N97" s="89" t="s">
        <v>28</v>
      </c>
      <c r="O97" s="89" t="s">
        <v>28</v>
      </c>
      <c r="P97" s="89" t="s">
        <v>28</v>
      </c>
      <c r="Q97" s="92">
        <v>8.64</v>
      </c>
      <c r="R97" s="92">
        <v>8.64</v>
      </c>
      <c r="S97" s="92">
        <f t="shared" si="43"/>
        <v>259.20000000000005</v>
      </c>
      <c r="T97" s="92">
        <f t="shared" si="43"/>
        <v>259.20000000000005</v>
      </c>
      <c r="U97" s="92">
        <f t="shared" si="44"/>
        <v>3153.6000000000004</v>
      </c>
      <c r="V97" s="92">
        <f t="shared" si="44"/>
        <v>3153.6000000000004</v>
      </c>
      <c r="W97" s="92">
        <f>U97*0.5</f>
        <v>1576.8000000000002</v>
      </c>
      <c r="X97" s="92">
        <f>V97*0.5</f>
        <v>1576.8000000000002</v>
      </c>
      <c r="Y97" s="8" t="s">
        <v>131</v>
      </c>
    </row>
    <row r="98" spans="1:25" ht="57.75" customHeight="1" thickBot="1">
      <c r="A98"/>
      <c r="B98" s="85" t="s">
        <v>22</v>
      </c>
      <c r="C98" s="85" t="s">
        <v>23</v>
      </c>
      <c r="D98" s="86" t="s">
        <v>79</v>
      </c>
      <c r="E98" s="85">
        <v>2</v>
      </c>
      <c r="F98" s="85" t="s">
        <v>31</v>
      </c>
      <c r="G98" s="87" t="s">
        <v>80</v>
      </c>
      <c r="H98" s="88" t="s">
        <v>42</v>
      </c>
      <c r="I98" s="89" t="s">
        <v>28</v>
      </c>
      <c r="J98" s="89" t="s">
        <v>28</v>
      </c>
      <c r="K98" s="89" t="s">
        <v>28</v>
      </c>
      <c r="L98" s="89">
        <v>2.25</v>
      </c>
      <c r="M98" s="89">
        <v>24</v>
      </c>
      <c r="N98" s="89">
        <v>30</v>
      </c>
      <c r="O98" s="89">
        <v>50</v>
      </c>
      <c r="P98" s="89">
        <v>193</v>
      </c>
      <c r="Q98" s="92">
        <f>L98*O98*M98*0.0036</f>
        <v>9.719999999999999</v>
      </c>
      <c r="R98" s="92">
        <f>L98*P98*M98*0.0036</f>
        <v>37.5192</v>
      </c>
      <c r="S98" s="92">
        <f t="shared" si="43"/>
        <v>291.59999999999997</v>
      </c>
      <c r="T98" s="92">
        <f t="shared" si="43"/>
        <v>1125.576</v>
      </c>
      <c r="U98" s="92">
        <f t="shared" si="44"/>
        <v>3547.7999999999997</v>
      </c>
      <c r="V98" s="92">
        <f t="shared" si="44"/>
        <v>13694.508</v>
      </c>
      <c r="W98" s="92">
        <f>U98*0.8</f>
        <v>2838.24</v>
      </c>
      <c r="X98" s="92">
        <f>V98*0.26</f>
        <v>3560.57208</v>
      </c>
      <c r="Y98" s="8" t="s">
        <v>133</v>
      </c>
    </row>
    <row r="99" spans="1:25" ht="57.75" customHeight="1" thickBot="1">
      <c r="A99"/>
      <c r="B99" s="85" t="s">
        <v>22</v>
      </c>
      <c r="C99" s="85" t="s">
        <v>23</v>
      </c>
      <c r="D99" s="86" t="s">
        <v>79</v>
      </c>
      <c r="E99" s="85">
        <v>2</v>
      </c>
      <c r="F99" s="85" t="s">
        <v>31</v>
      </c>
      <c r="G99" s="87" t="s">
        <v>81</v>
      </c>
      <c r="H99" s="88" t="s">
        <v>42</v>
      </c>
      <c r="I99" s="89" t="s">
        <v>28</v>
      </c>
      <c r="J99" s="89" t="s">
        <v>28</v>
      </c>
      <c r="K99" s="89" t="s">
        <v>28</v>
      </c>
      <c r="L99" s="89">
        <v>2.25</v>
      </c>
      <c r="M99" s="89">
        <v>24</v>
      </c>
      <c r="N99" s="89">
        <v>30</v>
      </c>
      <c r="O99" s="89">
        <v>50</v>
      </c>
      <c r="P99" s="89">
        <v>193</v>
      </c>
      <c r="Q99" s="92">
        <f>L99*O99*M99*0.0036</f>
        <v>9.719999999999999</v>
      </c>
      <c r="R99" s="92">
        <f>L99*P99*M99*0.0036</f>
        <v>37.5192</v>
      </c>
      <c r="S99" s="92">
        <f t="shared" si="43"/>
        <v>291.59999999999997</v>
      </c>
      <c r="T99" s="92">
        <f t="shared" si="43"/>
        <v>1125.576</v>
      </c>
      <c r="U99" s="92">
        <f t="shared" si="44"/>
        <v>3547.7999999999997</v>
      </c>
      <c r="V99" s="92">
        <f t="shared" si="44"/>
        <v>13694.508</v>
      </c>
      <c r="W99" s="92">
        <v>2838.24</v>
      </c>
      <c r="X99" s="92">
        <v>3560.57208</v>
      </c>
      <c r="Y99" s="8" t="s">
        <v>134</v>
      </c>
    </row>
    <row r="100" spans="1:25" ht="57.75" customHeight="1" thickBot="1">
      <c r="A100"/>
      <c r="B100" s="85" t="s">
        <v>22</v>
      </c>
      <c r="C100" s="85" t="s">
        <v>23</v>
      </c>
      <c r="D100" s="86" t="s">
        <v>33</v>
      </c>
      <c r="E100" s="85">
        <v>2</v>
      </c>
      <c r="F100" s="85" t="s">
        <v>31</v>
      </c>
      <c r="G100" s="87" t="s">
        <v>82</v>
      </c>
      <c r="H100" s="88" t="s">
        <v>42</v>
      </c>
      <c r="I100" s="89" t="s">
        <v>28</v>
      </c>
      <c r="J100" s="89" t="s">
        <v>28</v>
      </c>
      <c r="K100" s="89" t="s">
        <v>28</v>
      </c>
      <c r="L100" s="89">
        <v>10</v>
      </c>
      <c r="M100" s="89">
        <v>24</v>
      </c>
      <c r="N100" s="89">
        <v>30</v>
      </c>
      <c r="O100" s="89">
        <v>50</v>
      </c>
      <c r="P100" s="89">
        <v>50</v>
      </c>
      <c r="Q100" s="92">
        <f>L100*O100*M100*0.0036</f>
        <v>43.199999999999996</v>
      </c>
      <c r="R100" s="92">
        <f>L100*P100*M100*0.0036</f>
        <v>43.199999999999996</v>
      </c>
      <c r="S100" s="92">
        <f t="shared" si="43"/>
        <v>1295.9999999999998</v>
      </c>
      <c r="T100" s="92">
        <f t="shared" si="43"/>
        <v>1295.9999999999998</v>
      </c>
      <c r="U100" s="92">
        <f t="shared" si="44"/>
        <v>15767.999999999998</v>
      </c>
      <c r="V100" s="92">
        <f t="shared" si="44"/>
        <v>15767.999999999998</v>
      </c>
      <c r="W100" s="92">
        <f>U100</f>
        <v>15767.999999999998</v>
      </c>
      <c r="X100" s="92">
        <f>V100</f>
        <v>15767.999999999998</v>
      </c>
      <c r="Y100" s="8" t="s">
        <v>135</v>
      </c>
    </row>
    <row r="101" spans="1:25" ht="57.75" customHeight="1" thickBot="1">
      <c r="A101"/>
      <c r="B101" s="85" t="s">
        <v>22</v>
      </c>
      <c r="C101" s="85" t="s">
        <v>23</v>
      </c>
      <c r="D101" s="86" t="s">
        <v>83</v>
      </c>
      <c r="E101" s="85">
        <v>2</v>
      </c>
      <c r="F101" s="85" t="s">
        <v>25</v>
      </c>
      <c r="G101" s="87" t="s">
        <v>84</v>
      </c>
      <c r="H101" s="88" t="s">
        <v>42</v>
      </c>
      <c r="I101" s="89" t="s">
        <v>28</v>
      </c>
      <c r="J101" s="89" t="s">
        <v>28</v>
      </c>
      <c r="K101" s="89" t="s">
        <v>28</v>
      </c>
      <c r="L101" s="89">
        <v>10</v>
      </c>
      <c r="M101" s="89">
        <v>24</v>
      </c>
      <c r="N101" s="89">
        <v>30</v>
      </c>
      <c r="O101" s="89">
        <v>50</v>
      </c>
      <c r="P101" s="89">
        <v>50</v>
      </c>
      <c r="Q101" s="92">
        <f>L101*O101*M101*0.0036</f>
        <v>43.199999999999996</v>
      </c>
      <c r="R101" s="92">
        <f>L101*P101*M101*0.0036</f>
        <v>43.199999999999996</v>
      </c>
      <c r="S101" s="92">
        <f t="shared" si="43"/>
        <v>1295.9999999999998</v>
      </c>
      <c r="T101" s="92">
        <f t="shared" si="43"/>
        <v>1295.9999999999998</v>
      </c>
      <c r="U101" s="92">
        <f t="shared" si="44"/>
        <v>15767.999999999998</v>
      </c>
      <c r="V101" s="92">
        <f t="shared" si="44"/>
        <v>15767.999999999998</v>
      </c>
      <c r="W101" s="92">
        <f>T101</f>
        <v>1295.9999999999998</v>
      </c>
      <c r="X101" s="92">
        <f>V101</f>
        <v>15767.999999999998</v>
      </c>
      <c r="Y101" s="5" t="s">
        <v>136</v>
      </c>
    </row>
    <row r="102" spans="1:25" ht="26.45" customHeight="1" thickBot="1">
      <c r="A102"/>
      <c r="B102" s="173" t="s">
        <v>102</v>
      </c>
      <c r="C102" s="174"/>
      <c r="D102" s="174"/>
      <c r="E102" s="174"/>
      <c r="F102" s="174"/>
      <c r="G102" s="174"/>
      <c r="H102" s="174"/>
      <c r="I102" s="174"/>
      <c r="J102" s="174"/>
      <c r="K102" s="174"/>
      <c r="L102" s="174"/>
      <c r="M102" s="174"/>
      <c r="N102" s="174"/>
      <c r="O102" s="174"/>
      <c r="P102" s="174"/>
      <c r="Q102" s="174"/>
      <c r="R102" s="174"/>
      <c r="S102" s="174"/>
      <c r="T102" s="175"/>
      <c r="U102" s="97">
        <f>SUM(U86:U101)</f>
        <v>262113.1576</v>
      </c>
      <c r="V102" s="97">
        <f>SUM(V86:V101)</f>
        <v>332455.63639999996</v>
      </c>
      <c r="W102" s="97">
        <f aca="true" t="shared" si="45" ref="W102:X102">SUM(W86:W101)</f>
        <v>142355.27561200003</v>
      </c>
      <c r="X102" s="97">
        <f t="shared" si="45"/>
        <v>173054.10011760003</v>
      </c>
      <c r="Y102" s="5"/>
    </row>
    <row r="103" s="169" customFormat="1" ht="26.45" customHeight="1" thickBot="1"/>
    <row r="104" spans="2:25" ht="23.45" customHeight="1" thickBot="1">
      <c r="B104" s="235" t="s">
        <v>103</v>
      </c>
      <c r="C104" s="236"/>
      <c r="D104" s="236"/>
      <c r="E104" s="236"/>
      <c r="F104" s="236"/>
      <c r="G104" s="236"/>
      <c r="H104" s="236"/>
      <c r="I104" s="236"/>
      <c r="J104" s="236"/>
      <c r="K104" s="236"/>
      <c r="L104" s="236"/>
      <c r="M104" s="236"/>
      <c r="N104" s="236"/>
      <c r="O104" s="236"/>
      <c r="P104" s="236"/>
      <c r="Q104" s="236"/>
      <c r="R104" s="236"/>
      <c r="S104" s="236"/>
      <c r="T104" s="236"/>
      <c r="U104" s="236"/>
      <c r="V104" s="237"/>
      <c r="W104" s="237"/>
      <c r="X104" s="238"/>
      <c r="Y104" s="5"/>
    </row>
    <row r="105" spans="1:25" ht="57.75" customHeight="1" thickBot="1">
      <c r="A105"/>
      <c r="B105" s="141" t="s">
        <v>22</v>
      </c>
      <c r="C105" s="141" t="s">
        <v>23</v>
      </c>
      <c r="D105" s="142" t="s">
        <v>54</v>
      </c>
      <c r="E105" s="141">
        <v>2</v>
      </c>
      <c r="F105" s="141" t="s">
        <v>31</v>
      </c>
      <c r="G105" s="143" t="s">
        <v>55</v>
      </c>
      <c r="H105" s="144" t="s">
        <v>27</v>
      </c>
      <c r="I105" s="145">
        <v>555</v>
      </c>
      <c r="J105" s="146">
        <v>0.05</v>
      </c>
      <c r="K105" s="146">
        <v>0.05</v>
      </c>
      <c r="L105" s="146" t="s">
        <v>56</v>
      </c>
      <c r="M105" s="146" t="s">
        <v>56</v>
      </c>
      <c r="N105" s="147" t="s">
        <v>56</v>
      </c>
      <c r="O105" s="146" t="s">
        <v>56</v>
      </c>
      <c r="P105" s="146" t="s">
        <v>56</v>
      </c>
      <c r="Q105" s="148">
        <f aca="true" t="shared" si="46" ref="Q105:Q110">I105*J105</f>
        <v>27.75</v>
      </c>
      <c r="R105" s="148">
        <f aca="true" t="shared" si="47" ref="R105:R110">I105*K105</f>
        <v>27.75</v>
      </c>
      <c r="S105" s="149">
        <f>Q105*30</f>
        <v>832.5</v>
      </c>
      <c r="T105" s="149">
        <f>R105*30</f>
        <v>832.5</v>
      </c>
      <c r="U105" s="148">
        <f>Q105*365</f>
        <v>10128.75</v>
      </c>
      <c r="V105" s="148">
        <f>R105*365</f>
        <v>10128.75</v>
      </c>
      <c r="W105" s="148">
        <f>U105*0.5</f>
        <v>5064.375</v>
      </c>
      <c r="X105" s="148">
        <f>V105*0.5</f>
        <v>5064.375</v>
      </c>
      <c r="Y105" s="8" t="s">
        <v>170</v>
      </c>
    </row>
    <row r="106" spans="1:25" ht="57.75" customHeight="1" thickBot="1">
      <c r="A106"/>
      <c r="B106" s="141" t="s">
        <v>22</v>
      </c>
      <c r="C106" s="141" t="s">
        <v>23</v>
      </c>
      <c r="D106" s="142" t="s">
        <v>57</v>
      </c>
      <c r="E106" s="141">
        <v>2</v>
      </c>
      <c r="F106" s="141" t="s">
        <v>25</v>
      </c>
      <c r="G106" s="143" t="s">
        <v>58</v>
      </c>
      <c r="H106" s="144" t="s">
        <v>27</v>
      </c>
      <c r="I106" s="146">
        <v>4957</v>
      </c>
      <c r="J106" s="146">
        <v>0.05</v>
      </c>
      <c r="K106" s="150">
        <v>0.05</v>
      </c>
      <c r="L106" s="146" t="s">
        <v>56</v>
      </c>
      <c r="M106" s="146" t="s">
        <v>56</v>
      </c>
      <c r="N106" s="146" t="s">
        <v>56</v>
      </c>
      <c r="O106" s="146" t="s">
        <v>56</v>
      </c>
      <c r="P106" s="146" t="s">
        <v>56</v>
      </c>
      <c r="Q106" s="148">
        <f t="shared" si="46"/>
        <v>247.85000000000002</v>
      </c>
      <c r="R106" s="148">
        <f t="shared" si="47"/>
        <v>247.85000000000002</v>
      </c>
      <c r="S106" s="149">
        <f aca="true" t="shared" si="48" ref="S106:T111">Q106*30</f>
        <v>7435.500000000001</v>
      </c>
      <c r="T106" s="149">
        <f t="shared" si="48"/>
        <v>7435.500000000001</v>
      </c>
      <c r="U106" s="148">
        <f aca="true" t="shared" si="49" ref="U106:V111">Q106*365</f>
        <v>90465.25000000001</v>
      </c>
      <c r="V106" s="148">
        <f t="shared" si="49"/>
        <v>90465.25000000001</v>
      </c>
      <c r="W106" s="148">
        <f>U106*0.15</f>
        <v>13569.787500000002</v>
      </c>
      <c r="X106" s="148">
        <f>V106*0.15</f>
        <v>13569.787500000002</v>
      </c>
      <c r="Y106" s="8" t="s">
        <v>159</v>
      </c>
    </row>
    <row r="107" spans="1:25" ht="57.75" customHeight="1" thickBot="1">
      <c r="A107"/>
      <c r="B107" s="141" t="s">
        <v>22</v>
      </c>
      <c r="C107" s="141" t="s">
        <v>23</v>
      </c>
      <c r="D107" s="142" t="s">
        <v>59</v>
      </c>
      <c r="E107" s="141">
        <v>2</v>
      </c>
      <c r="F107" s="141" t="s">
        <v>25</v>
      </c>
      <c r="G107" s="143" t="s">
        <v>60</v>
      </c>
      <c r="H107" s="144" t="s">
        <v>27</v>
      </c>
      <c r="I107" s="146">
        <v>2500</v>
      </c>
      <c r="J107" s="146">
        <v>0.05</v>
      </c>
      <c r="K107" s="150">
        <v>0.05</v>
      </c>
      <c r="L107" s="146" t="s">
        <v>56</v>
      </c>
      <c r="M107" s="146" t="s">
        <v>56</v>
      </c>
      <c r="N107" s="147" t="s">
        <v>56</v>
      </c>
      <c r="O107" s="146" t="s">
        <v>56</v>
      </c>
      <c r="P107" s="146" t="s">
        <v>56</v>
      </c>
      <c r="Q107" s="148">
        <f t="shared" si="46"/>
        <v>125</v>
      </c>
      <c r="R107" s="148">
        <f t="shared" si="47"/>
        <v>125</v>
      </c>
      <c r="S107" s="149">
        <f t="shared" si="48"/>
        <v>3750</v>
      </c>
      <c r="T107" s="149">
        <f t="shared" si="48"/>
        <v>3750</v>
      </c>
      <c r="U107" s="151">
        <f t="shared" si="49"/>
        <v>45625</v>
      </c>
      <c r="V107" s="149">
        <f t="shared" si="49"/>
        <v>45625</v>
      </c>
      <c r="W107" s="148">
        <f>U107*0.2</f>
        <v>9125</v>
      </c>
      <c r="X107" s="148">
        <f>V107*0.2</f>
        <v>9125</v>
      </c>
      <c r="Y107" s="8" t="s">
        <v>174</v>
      </c>
    </row>
    <row r="108" spans="1:25" ht="57.75" customHeight="1" thickBot="1">
      <c r="A108"/>
      <c r="B108" s="141" t="s">
        <v>22</v>
      </c>
      <c r="C108" s="141" t="s">
        <v>23</v>
      </c>
      <c r="D108" s="142" t="s">
        <v>61</v>
      </c>
      <c r="E108" s="141">
        <v>2</v>
      </c>
      <c r="F108" s="141" t="s">
        <v>31</v>
      </c>
      <c r="G108" s="143" t="s">
        <v>62</v>
      </c>
      <c r="H108" s="144" t="s">
        <v>27</v>
      </c>
      <c r="I108" s="146">
        <v>821</v>
      </c>
      <c r="J108" s="146">
        <v>0.05</v>
      </c>
      <c r="K108" s="150">
        <v>0.05</v>
      </c>
      <c r="L108" s="146" t="s">
        <v>28</v>
      </c>
      <c r="M108" s="146" t="s">
        <v>28</v>
      </c>
      <c r="N108" s="146" t="s">
        <v>28</v>
      </c>
      <c r="O108" s="146" t="s">
        <v>28</v>
      </c>
      <c r="P108" s="146" t="s">
        <v>28</v>
      </c>
      <c r="Q108" s="149">
        <f t="shared" si="46"/>
        <v>41.050000000000004</v>
      </c>
      <c r="R108" s="149">
        <f t="shared" si="47"/>
        <v>41.050000000000004</v>
      </c>
      <c r="S108" s="149">
        <f t="shared" si="48"/>
        <v>1231.5000000000002</v>
      </c>
      <c r="T108" s="149">
        <f t="shared" si="48"/>
        <v>1231.5000000000002</v>
      </c>
      <c r="U108" s="151">
        <f t="shared" si="49"/>
        <v>14983.250000000002</v>
      </c>
      <c r="V108" s="149">
        <f t="shared" si="49"/>
        <v>14983.250000000002</v>
      </c>
      <c r="W108" s="148">
        <f>U108*0.5</f>
        <v>7491.625000000001</v>
      </c>
      <c r="X108" s="148">
        <f>V108*0.5</f>
        <v>7491.625000000001</v>
      </c>
      <c r="Y108" s="5" t="s">
        <v>173</v>
      </c>
    </row>
    <row r="109" spans="1:25" s="20" customFormat="1" ht="57.75" customHeight="1" thickBot="1">
      <c r="A109" s="101"/>
      <c r="B109" s="141" t="s">
        <v>22</v>
      </c>
      <c r="C109" s="141" t="s">
        <v>23</v>
      </c>
      <c r="D109" s="142" t="s">
        <v>64</v>
      </c>
      <c r="E109" s="141">
        <v>2</v>
      </c>
      <c r="F109" s="141" t="s">
        <v>25</v>
      </c>
      <c r="G109" s="143" t="s">
        <v>65</v>
      </c>
      <c r="H109" s="144" t="s">
        <v>27</v>
      </c>
      <c r="I109" s="146">
        <v>334</v>
      </c>
      <c r="J109" s="146">
        <v>0.05</v>
      </c>
      <c r="K109" s="150">
        <v>0.05</v>
      </c>
      <c r="L109" s="146" t="s">
        <v>28</v>
      </c>
      <c r="M109" s="146" t="s">
        <v>28</v>
      </c>
      <c r="N109" s="146" t="s">
        <v>28</v>
      </c>
      <c r="O109" s="146" t="s">
        <v>28</v>
      </c>
      <c r="P109" s="146" t="s">
        <v>28</v>
      </c>
      <c r="Q109" s="148">
        <f t="shared" si="46"/>
        <v>16.7</v>
      </c>
      <c r="R109" s="148">
        <f t="shared" si="47"/>
        <v>16.7</v>
      </c>
      <c r="S109" s="149">
        <f t="shared" si="48"/>
        <v>501</v>
      </c>
      <c r="T109" s="149">
        <f t="shared" si="48"/>
        <v>501</v>
      </c>
      <c r="U109" s="151">
        <f t="shared" si="49"/>
        <v>6095.5</v>
      </c>
      <c r="V109" s="149">
        <f t="shared" si="49"/>
        <v>6095.5</v>
      </c>
      <c r="W109" s="148">
        <v>895.1625000000001</v>
      </c>
      <c r="X109" s="148">
        <v>895.1625000000001</v>
      </c>
      <c r="Y109" s="102" t="s">
        <v>164</v>
      </c>
    </row>
    <row r="110" spans="1:25" ht="57.75" customHeight="1" thickBot="1">
      <c r="A110"/>
      <c r="B110" s="141" t="s">
        <v>22</v>
      </c>
      <c r="C110" s="141" t="s">
        <v>23</v>
      </c>
      <c r="D110" s="142" t="s">
        <v>66</v>
      </c>
      <c r="E110" s="141">
        <v>2</v>
      </c>
      <c r="F110" s="141" t="s">
        <v>31</v>
      </c>
      <c r="G110" s="143" t="s">
        <v>67</v>
      </c>
      <c r="H110" s="144" t="s">
        <v>27</v>
      </c>
      <c r="I110" s="146">
        <v>374</v>
      </c>
      <c r="J110" s="146">
        <v>0.05</v>
      </c>
      <c r="K110" s="150">
        <v>0.05</v>
      </c>
      <c r="L110" s="146" t="s">
        <v>28</v>
      </c>
      <c r="M110" s="146" t="s">
        <v>28</v>
      </c>
      <c r="N110" s="146" t="s">
        <v>28</v>
      </c>
      <c r="O110" s="146" t="s">
        <v>28</v>
      </c>
      <c r="P110" s="146" t="s">
        <v>28</v>
      </c>
      <c r="Q110" s="148">
        <f t="shared" si="46"/>
        <v>18.7</v>
      </c>
      <c r="R110" s="148">
        <f t="shared" si="47"/>
        <v>18.7</v>
      </c>
      <c r="S110" s="149">
        <f t="shared" si="48"/>
        <v>561</v>
      </c>
      <c r="T110" s="149">
        <f t="shared" si="48"/>
        <v>561</v>
      </c>
      <c r="U110" s="151">
        <f t="shared" si="49"/>
        <v>6825.5</v>
      </c>
      <c r="V110" s="149">
        <f t="shared" si="49"/>
        <v>6825.5</v>
      </c>
      <c r="W110" s="148">
        <f>U110*0.1</f>
        <v>682.5500000000001</v>
      </c>
      <c r="X110" s="148">
        <f>V110*0.1</f>
        <v>682.5500000000001</v>
      </c>
      <c r="Y110" s="8" t="s">
        <v>125</v>
      </c>
    </row>
    <row r="111" spans="1:25" ht="57.75" customHeight="1" thickBot="1">
      <c r="A111"/>
      <c r="B111" s="141" t="s">
        <v>22</v>
      </c>
      <c r="C111" s="141" t="s">
        <v>23</v>
      </c>
      <c r="D111" s="142" t="s">
        <v>57</v>
      </c>
      <c r="E111" s="141">
        <v>2</v>
      </c>
      <c r="F111" s="141" t="s">
        <v>31</v>
      </c>
      <c r="G111" s="143" t="s">
        <v>69</v>
      </c>
      <c r="H111" s="146" t="s">
        <v>144</v>
      </c>
      <c r="I111" s="146">
        <v>640</v>
      </c>
      <c r="J111" s="146" t="s">
        <v>28</v>
      </c>
      <c r="K111" s="146" t="s">
        <v>28</v>
      </c>
      <c r="L111" s="146" t="s">
        <v>28</v>
      </c>
      <c r="M111" s="146" t="s">
        <v>28</v>
      </c>
      <c r="N111" s="146" t="s">
        <v>28</v>
      </c>
      <c r="O111" s="146" t="s">
        <v>28</v>
      </c>
      <c r="P111" s="146" t="s">
        <v>28</v>
      </c>
      <c r="Q111" s="146">
        <v>9.62</v>
      </c>
      <c r="R111" s="148">
        <v>4.92</v>
      </c>
      <c r="S111" s="149">
        <f t="shared" si="48"/>
        <v>288.59999999999997</v>
      </c>
      <c r="T111" s="149">
        <f t="shared" si="48"/>
        <v>147.6</v>
      </c>
      <c r="U111" s="151">
        <f t="shared" si="49"/>
        <v>3511.2999999999997</v>
      </c>
      <c r="V111" s="149">
        <f t="shared" si="49"/>
        <v>1795.8</v>
      </c>
      <c r="W111" s="148">
        <f>U111</f>
        <v>3511.2999999999997</v>
      </c>
      <c r="X111" s="148">
        <f>V111</f>
        <v>1795.8</v>
      </c>
      <c r="Y111" s="8" t="s">
        <v>126</v>
      </c>
    </row>
    <row r="112" spans="1:25" ht="21.6" customHeight="1" thickBot="1">
      <c r="A112"/>
      <c r="B112" s="235" t="s">
        <v>39</v>
      </c>
      <c r="C112" s="236"/>
      <c r="D112" s="236"/>
      <c r="E112" s="236"/>
      <c r="F112" s="236"/>
      <c r="G112" s="236"/>
      <c r="H112" s="236"/>
      <c r="I112" s="236"/>
      <c r="J112" s="236"/>
      <c r="K112" s="236"/>
      <c r="L112" s="236"/>
      <c r="M112" s="236"/>
      <c r="N112" s="236"/>
      <c r="O112" s="236"/>
      <c r="P112" s="236"/>
      <c r="Q112" s="236"/>
      <c r="R112" s="236"/>
      <c r="S112" s="236"/>
      <c r="T112" s="236"/>
      <c r="U112" s="236"/>
      <c r="V112" s="239"/>
      <c r="W112" s="152"/>
      <c r="X112" s="153"/>
      <c r="Y112" s="1"/>
    </row>
    <row r="113" spans="1:25" ht="57.75" customHeight="1" thickBot="1">
      <c r="A113"/>
      <c r="B113" s="141" t="s">
        <v>22</v>
      </c>
      <c r="C113" s="141" t="s">
        <v>23</v>
      </c>
      <c r="D113" s="142" t="s">
        <v>57</v>
      </c>
      <c r="E113" s="141">
        <v>2</v>
      </c>
      <c r="F113" s="154" t="s">
        <v>25</v>
      </c>
      <c r="G113" s="143" t="s">
        <v>70</v>
      </c>
      <c r="H113" s="144" t="s">
        <v>42</v>
      </c>
      <c r="I113" s="145" t="s">
        <v>28</v>
      </c>
      <c r="J113" s="145" t="s">
        <v>28</v>
      </c>
      <c r="K113" s="145" t="s">
        <v>28</v>
      </c>
      <c r="L113" s="145">
        <v>0.28</v>
      </c>
      <c r="M113" s="145">
        <v>8</v>
      </c>
      <c r="N113" s="145">
        <v>24</v>
      </c>
      <c r="O113" s="145">
        <v>2185</v>
      </c>
      <c r="P113" s="145">
        <v>390</v>
      </c>
      <c r="Q113" s="148">
        <f>L113*O113*0.0036*M113</f>
        <v>17.61984</v>
      </c>
      <c r="R113" s="148">
        <f>L113*P113*0.0036*M113</f>
        <v>3.14496</v>
      </c>
      <c r="S113" s="148">
        <f>Q113*N113</f>
        <v>422.87616</v>
      </c>
      <c r="T113" s="148">
        <f>R113*N113</f>
        <v>75.47904</v>
      </c>
      <c r="U113" s="148">
        <f aca="true" t="shared" si="50" ref="U113">Q113*365</f>
        <v>6431.2416</v>
      </c>
      <c r="V113" s="148">
        <f aca="true" t="shared" si="51" ref="V113">R113*365</f>
        <v>1147.9104</v>
      </c>
      <c r="W113" s="148">
        <f>U113*0.195</f>
        <v>1254.092112</v>
      </c>
      <c r="X113" s="148">
        <f>V113*0.544</f>
        <v>624.4632576</v>
      </c>
      <c r="Y113" s="8" t="s">
        <v>130</v>
      </c>
    </row>
    <row r="114" spans="1:25" ht="57.75" customHeight="1" thickBot="1">
      <c r="A114"/>
      <c r="B114" s="141" t="s">
        <v>22</v>
      </c>
      <c r="C114" s="141" t="s">
        <v>23</v>
      </c>
      <c r="D114" s="142" t="s">
        <v>71</v>
      </c>
      <c r="E114" s="141">
        <v>2</v>
      </c>
      <c r="F114" s="155" t="s">
        <v>25</v>
      </c>
      <c r="G114" s="143" t="s">
        <v>72</v>
      </c>
      <c r="H114" s="144" t="s">
        <v>42</v>
      </c>
      <c r="I114" s="145" t="s">
        <v>28</v>
      </c>
      <c r="J114" s="145" t="s">
        <v>28</v>
      </c>
      <c r="K114" s="145" t="s">
        <v>28</v>
      </c>
      <c r="L114" s="145" t="s">
        <v>28</v>
      </c>
      <c r="M114" s="145" t="s">
        <v>28</v>
      </c>
      <c r="N114" s="145" t="s">
        <v>28</v>
      </c>
      <c r="O114" s="145" t="s">
        <v>28</v>
      </c>
      <c r="P114" s="145" t="s">
        <v>28</v>
      </c>
      <c r="Q114" s="148">
        <v>96.88</v>
      </c>
      <c r="R114" s="148">
        <v>175.04</v>
      </c>
      <c r="S114" s="148">
        <f aca="true" t="shared" si="52" ref="S114:T120">Q114*30</f>
        <v>2906.3999999999996</v>
      </c>
      <c r="T114" s="148">
        <f t="shared" si="52"/>
        <v>5251.2</v>
      </c>
      <c r="U114" s="148">
        <f aca="true" t="shared" si="53" ref="U114:V120">Q114*365</f>
        <v>35361.2</v>
      </c>
      <c r="V114" s="148">
        <f t="shared" si="53"/>
        <v>63889.6</v>
      </c>
      <c r="W114" s="148">
        <f>U114</f>
        <v>35361.2</v>
      </c>
      <c r="X114" s="148">
        <f>V114*0.65</f>
        <v>41528.24</v>
      </c>
      <c r="Y114" s="5" t="s">
        <v>73</v>
      </c>
    </row>
    <row r="115" spans="1:25" ht="57.75" customHeight="1" thickBot="1">
      <c r="A115"/>
      <c r="B115" s="141" t="s">
        <v>22</v>
      </c>
      <c r="C115" s="141" t="s">
        <v>23</v>
      </c>
      <c r="D115" s="142" t="s">
        <v>74</v>
      </c>
      <c r="E115" s="141">
        <v>2</v>
      </c>
      <c r="F115" s="141" t="s">
        <v>25</v>
      </c>
      <c r="G115" s="143" t="s">
        <v>75</v>
      </c>
      <c r="H115" s="144" t="s">
        <v>42</v>
      </c>
      <c r="I115" s="145" t="s">
        <v>28</v>
      </c>
      <c r="J115" s="145" t="s">
        <v>28</v>
      </c>
      <c r="K115" s="145" t="s">
        <v>28</v>
      </c>
      <c r="L115" s="145">
        <v>8</v>
      </c>
      <c r="M115" s="145">
        <v>24</v>
      </c>
      <c r="N115" s="145">
        <v>30</v>
      </c>
      <c r="O115" s="145">
        <v>7</v>
      </c>
      <c r="P115" s="145">
        <v>120</v>
      </c>
      <c r="Q115" s="148">
        <f>L115*O115*M115*0.0036</f>
        <v>4.8384</v>
      </c>
      <c r="R115" s="148">
        <f>L115*P115*M115*0.0036</f>
        <v>82.944</v>
      </c>
      <c r="S115" s="148">
        <f t="shared" si="52"/>
        <v>145.152</v>
      </c>
      <c r="T115" s="148">
        <f t="shared" si="52"/>
        <v>2488.32</v>
      </c>
      <c r="U115" s="148">
        <f t="shared" si="53"/>
        <v>1766.016</v>
      </c>
      <c r="V115" s="148">
        <f t="shared" si="53"/>
        <v>30274.56</v>
      </c>
      <c r="W115" s="148">
        <f>U115</f>
        <v>1766.016</v>
      </c>
      <c r="X115" s="148">
        <f>V115*0.42</f>
        <v>12715.315200000001</v>
      </c>
      <c r="Y115" s="8" t="s">
        <v>129</v>
      </c>
    </row>
    <row r="116" spans="1:25" ht="57.75" customHeight="1" thickBot="1">
      <c r="A116"/>
      <c r="B116" s="141" t="s">
        <v>22</v>
      </c>
      <c r="C116" s="141" t="s">
        <v>23</v>
      </c>
      <c r="D116" s="142" t="s">
        <v>77</v>
      </c>
      <c r="E116" s="141">
        <v>2</v>
      </c>
      <c r="F116" s="141" t="s">
        <v>25</v>
      </c>
      <c r="G116" s="143" t="s">
        <v>162</v>
      </c>
      <c r="H116" s="144" t="s">
        <v>42</v>
      </c>
      <c r="I116" s="145" t="s">
        <v>28</v>
      </c>
      <c r="J116" s="145" t="s">
        <v>28</v>
      </c>
      <c r="K116" s="145" t="s">
        <v>28</v>
      </c>
      <c r="L116" s="145" t="s">
        <v>28</v>
      </c>
      <c r="M116" s="145" t="s">
        <v>28</v>
      </c>
      <c r="N116" s="145" t="s">
        <v>28</v>
      </c>
      <c r="O116" s="145" t="s">
        <v>28</v>
      </c>
      <c r="P116" s="145" t="s">
        <v>28</v>
      </c>
      <c r="Q116" s="148">
        <v>8.64</v>
      </c>
      <c r="R116" s="148">
        <v>8.64</v>
      </c>
      <c r="S116" s="148">
        <f t="shared" si="52"/>
        <v>259.20000000000005</v>
      </c>
      <c r="T116" s="148">
        <f t="shared" si="52"/>
        <v>259.20000000000005</v>
      </c>
      <c r="U116" s="148">
        <f t="shared" si="53"/>
        <v>3153.6000000000004</v>
      </c>
      <c r="V116" s="148">
        <f t="shared" si="53"/>
        <v>3153.6000000000004</v>
      </c>
      <c r="W116" s="148">
        <f>U116*0.5</f>
        <v>1576.8000000000002</v>
      </c>
      <c r="X116" s="148">
        <f>V116*0.5</f>
        <v>1576.8000000000002</v>
      </c>
      <c r="Y116" s="8" t="s">
        <v>131</v>
      </c>
    </row>
    <row r="117" spans="1:25" ht="57.75" customHeight="1" thickBot="1">
      <c r="A117"/>
      <c r="B117" s="141" t="s">
        <v>22</v>
      </c>
      <c r="C117" s="141" t="s">
        <v>23</v>
      </c>
      <c r="D117" s="142" t="s">
        <v>79</v>
      </c>
      <c r="E117" s="141">
        <v>2</v>
      </c>
      <c r="F117" s="141" t="s">
        <v>31</v>
      </c>
      <c r="G117" s="143" t="s">
        <v>80</v>
      </c>
      <c r="H117" s="144" t="s">
        <v>42</v>
      </c>
      <c r="I117" s="145" t="s">
        <v>28</v>
      </c>
      <c r="J117" s="145" t="s">
        <v>28</v>
      </c>
      <c r="K117" s="145" t="s">
        <v>28</v>
      </c>
      <c r="L117" s="145">
        <v>2.25</v>
      </c>
      <c r="M117" s="145">
        <v>24</v>
      </c>
      <c r="N117" s="145">
        <v>30</v>
      </c>
      <c r="O117" s="145">
        <v>50</v>
      </c>
      <c r="P117" s="145">
        <v>193</v>
      </c>
      <c r="Q117" s="148">
        <f>L117*O117*M117*0.0036</f>
        <v>9.719999999999999</v>
      </c>
      <c r="R117" s="148">
        <f>L117*P117*M117*0.0036</f>
        <v>37.5192</v>
      </c>
      <c r="S117" s="148">
        <f t="shared" si="52"/>
        <v>291.59999999999997</v>
      </c>
      <c r="T117" s="148">
        <f t="shared" si="52"/>
        <v>1125.576</v>
      </c>
      <c r="U117" s="148">
        <f t="shared" si="53"/>
        <v>3547.7999999999997</v>
      </c>
      <c r="V117" s="148">
        <f t="shared" si="53"/>
        <v>13694.508</v>
      </c>
      <c r="W117" s="148">
        <f>U117*0.8</f>
        <v>2838.24</v>
      </c>
      <c r="X117" s="148">
        <f>V117*0.26</f>
        <v>3560.57208</v>
      </c>
      <c r="Y117" s="8" t="s">
        <v>133</v>
      </c>
    </row>
    <row r="118" spans="1:25" ht="57.75" customHeight="1" thickBot="1">
      <c r="A118"/>
      <c r="B118" s="141" t="s">
        <v>22</v>
      </c>
      <c r="C118" s="141" t="s">
        <v>23</v>
      </c>
      <c r="D118" s="142" t="s">
        <v>79</v>
      </c>
      <c r="E118" s="141">
        <v>2</v>
      </c>
      <c r="F118" s="141" t="s">
        <v>31</v>
      </c>
      <c r="G118" s="143" t="s">
        <v>81</v>
      </c>
      <c r="H118" s="144" t="s">
        <v>42</v>
      </c>
      <c r="I118" s="145" t="s">
        <v>28</v>
      </c>
      <c r="J118" s="145" t="s">
        <v>28</v>
      </c>
      <c r="K118" s="145" t="s">
        <v>28</v>
      </c>
      <c r="L118" s="145">
        <v>2.25</v>
      </c>
      <c r="M118" s="145">
        <v>24</v>
      </c>
      <c r="N118" s="145">
        <v>30</v>
      </c>
      <c r="O118" s="145">
        <v>50</v>
      </c>
      <c r="P118" s="145">
        <v>193</v>
      </c>
      <c r="Q118" s="148">
        <f>L118*O118*M118*0.0036</f>
        <v>9.719999999999999</v>
      </c>
      <c r="R118" s="148">
        <f>L118*P118*M118*0.0036</f>
        <v>37.5192</v>
      </c>
      <c r="S118" s="148">
        <f t="shared" si="52"/>
        <v>291.59999999999997</v>
      </c>
      <c r="T118" s="148">
        <f t="shared" si="52"/>
        <v>1125.576</v>
      </c>
      <c r="U118" s="148">
        <f t="shared" si="53"/>
        <v>3547.7999999999997</v>
      </c>
      <c r="V118" s="148">
        <f t="shared" si="53"/>
        <v>13694.508</v>
      </c>
      <c r="W118" s="148">
        <f>U118*0.8</f>
        <v>2838.24</v>
      </c>
      <c r="X118" s="148">
        <f>V118*0.26</f>
        <v>3560.57208</v>
      </c>
      <c r="Y118" s="8" t="s">
        <v>134</v>
      </c>
    </row>
    <row r="119" spans="1:25" ht="57.75" customHeight="1" thickBot="1">
      <c r="A119"/>
      <c r="B119" s="141" t="s">
        <v>22</v>
      </c>
      <c r="C119" s="141" t="s">
        <v>23</v>
      </c>
      <c r="D119" s="142" t="s">
        <v>33</v>
      </c>
      <c r="E119" s="141">
        <v>2</v>
      </c>
      <c r="F119" s="141" t="s">
        <v>31</v>
      </c>
      <c r="G119" s="143" t="s">
        <v>82</v>
      </c>
      <c r="H119" s="144" t="s">
        <v>42</v>
      </c>
      <c r="I119" s="145" t="s">
        <v>28</v>
      </c>
      <c r="J119" s="145" t="s">
        <v>28</v>
      </c>
      <c r="K119" s="145" t="s">
        <v>28</v>
      </c>
      <c r="L119" s="145">
        <v>10</v>
      </c>
      <c r="M119" s="145">
        <v>24</v>
      </c>
      <c r="N119" s="145">
        <v>30</v>
      </c>
      <c r="O119" s="145">
        <v>50</v>
      </c>
      <c r="P119" s="145">
        <v>50</v>
      </c>
      <c r="Q119" s="148">
        <f>L119*O119*M119*0.0036</f>
        <v>43.199999999999996</v>
      </c>
      <c r="R119" s="148">
        <f>L119*P119*M119*0.0036</f>
        <v>43.199999999999996</v>
      </c>
      <c r="S119" s="148">
        <f t="shared" si="52"/>
        <v>1295.9999999999998</v>
      </c>
      <c r="T119" s="148">
        <f t="shared" si="52"/>
        <v>1295.9999999999998</v>
      </c>
      <c r="U119" s="148">
        <f t="shared" si="53"/>
        <v>15767.999999999998</v>
      </c>
      <c r="V119" s="148">
        <f t="shared" si="53"/>
        <v>15767.999999999998</v>
      </c>
      <c r="W119" s="148">
        <f>U119</f>
        <v>15767.999999999998</v>
      </c>
      <c r="X119" s="148">
        <f>V119</f>
        <v>15767.999999999998</v>
      </c>
      <c r="Y119" s="8" t="s">
        <v>135</v>
      </c>
    </row>
    <row r="120" spans="1:25" ht="57.75" customHeight="1" thickBot="1">
      <c r="A120"/>
      <c r="B120" s="141" t="s">
        <v>22</v>
      </c>
      <c r="C120" s="141" t="s">
        <v>23</v>
      </c>
      <c r="D120" s="142" t="s">
        <v>83</v>
      </c>
      <c r="E120" s="141">
        <v>2</v>
      </c>
      <c r="F120" s="141" t="s">
        <v>25</v>
      </c>
      <c r="G120" s="143" t="s">
        <v>84</v>
      </c>
      <c r="H120" s="144" t="s">
        <v>42</v>
      </c>
      <c r="I120" s="145" t="s">
        <v>28</v>
      </c>
      <c r="J120" s="145" t="s">
        <v>28</v>
      </c>
      <c r="K120" s="145" t="s">
        <v>28</v>
      </c>
      <c r="L120" s="145">
        <v>10</v>
      </c>
      <c r="M120" s="145">
        <v>24</v>
      </c>
      <c r="N120" s="145">
        <v>30</v>
      </c>
      <c r="O120" s="145">
        <v>50</v>
      </c>
      <c r="P120" s="145">
        <v>50</v>
      </c>
      <c r="Q120" s="148">
        <f>L120*O120*M120*0.0036</f>
        <v>43.199999999999996</v>
      </c>
      <c r="R120" s="148">
        <f>L120*P120*M120*0.0036</f>
        <v>43.199999999999996</v>
      </c>
      <c r="S120" s="148">
        <f t="shared" si="52"/>
        <v>1295.9999999999998</v>
      </c>
      <c r="T120" s="148">
        <f t="shared" si="52"/>
        <v>1295.9999999999998</v>
      </c>
      <c r="U120" s="148">
        <f t="shared" si="53"/>
        <v>15767.999999999998</v>
      </c>
      <c r="V120" s="148">
        <f t="shared" si="53"/>
        <v>15767.999999999998</v>
      </c>
      <c r="W120" s="148">
        <f>T120</f>
        <v>1295.9999999999998</v>
      </c>
      <c r="X120" s="148">
        <f>V120</f>
        <v>15767.999999999998</v>
      </c>
      <c r="Y120" s="5" t="s">
        <v>136</v>
      </c>
    </row>
    <row r="121" spans="1:25" ht="26.45" customHeight="1" thickBot="1">
      <c r="A121"/>
      <c r="B121" s="230" t="s">
        <v>104</v>
      </c>
      <c r="C121" s="231"/>
      <c r="D121" s="231"/>
      <c r="E121" s="231"/>
      <c r="F121" s="231"/>
      <c r="G121" s="231"/>
      <c r="H121" s="231"/>
      <c r="I121" s="231"/>
      <c r="J121" s="231"/>
      <c r="K121" s="231"/>
      <c r="L121" s="231"/>
      <c r="M121" s="231"/>
      <c r="N121" s="231"/>
      <c r="O121" s="231"/>
      <c r="P121" s="231"/>
      <c r="Q121" s="231"/>
      <c r="R121" s="231"/>
      <c r="S121" s="231"/>
      <c r="T121" s="232"/>
      <c r="U121" s="156">
        <f>SUM(U105:U120)</f>
        <v>262978.20759999997</v>
      </c>
      <c r="V121" s="157">
        <f>SUM(V105:V120)</f>
        <v>333309.73639999994</v>
      </c>
      <c r="W121" s="157">
        <f>SUM(W105:W120)</f>
        <v>103038.38811200003</v>
      </c>
      <c r="X121" s="157">
        <f>SUM(X105:X120)</f>
        <v>133726.2626176</v>
      </c>
      <c r="Y121" s="5"/>
    </row>
  </sheetData>
  <sheetProtection algorithmName="SHA-512" hashValue="A/2WemVApFPdrJQVX0AEDc/5KwiIaPmiqaLlbDzgGKS7dNYPJWPM98ekgFHo79utOJsMe0KS3rlqEHYn28Y39Q==" saltValue="aAbBdhTIhyA5M4oMyUiMNg==" spinCount="100000" sheet="1" formatCells="0" formatColumns="0" formatRows="0" insertColumns="0" insertRows="0" insertHyperlinks="0" deleteColumns="0" deleteRows="0" sort="0" autoFilter="0" pivotTables="0"/>
  <autoFilter ref="G1:G121"/>
  <mergeCells count="28">
    <mergeCell ref="B121:T121"/>
    <mergeCell ref="B85:X85"/>
    <mergeCell ref="B102:T102"/>
    <mergeCell ref="A103:XFD103"/>
    <mergeCell ref="B104:X104"/>
    <mergeCell ref="B112:V112"/>
    <mergeCell ref="A65:XFD65"/>
    <mergeCell ref="B66:X66"/>
    <mergeCell ref="B74:V74"/>
    <mergeCell ref="B83:T83"/>
    <mergeCell ref="A84:XFD84"/>
    <mergeCell ref="B45:T45"/>
    <mergeCell ref="A46:XFD46"/>
    <mergeCell ref="B47:X47"/>
    <mergeCell ref="B55:V55"/>
    <mergeCell ref="B64:T64"/>
    <mergeCell ref="B36:V36"/>
    <mergeCell ref="B2:B6"/>
    <mergeCell ref="C2:Y3"/>
    <mergeCell ref="C4:Y4"/>
    <mergeCell ref="C5:Y5"/>
    <mergeCell ref="C6:Y6"/>
    <mergeCell ref="B7:Y7"/>
    <mergeCell ref="B8:Y8"/>
    <mergeCell ref="B17:V17"/>
    <mergeCell ref="B26:T26"/>
    <mergeCell ref="B27:Y27"/>
    <mergeCell ref="B28:X28"/>
  </mergeCells>
  <printOptions/>
  <pageMargins left="0.7" right="0.7" top="0.75" bottom="0.75" header="0.3" footer="0.3"/>
  <pageSetup horizontalDpi="600" verticalDpi="600" orientation="portrait" r:id="rId2"/>
  <ignoredErrors>
    <ignoredError sqref="W88:X88" 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F4867-F09D-465C-A6D4-44B5DFFB6A72}">
  <dimension ref="B2:L15"/>
  <sheetViews>
    <sheetView zoomScale="90" zoomScaleNormal="90" workbookViewId="0" topLeftCell="A1">
      <selection activeCell="J10" sqref="J10"/>
    </sheetView>
  </sheetViews>
  <sheetFormatPr defaultColWidth="10.8515625" defaultRowHeight="15"/>
  <cols>
    <col min="1" max="1" width="3.8515625" style="105" customWidth="1"/>
    <col min="2" max="2" width="6.421875" style="105" bestFit="1" customWidth="1"/>
    <col min="3" max="3" width="31.57421875" style="105" bestFit="1" customWidth="1"/>
    <col min="4" max="4" width="12.57421875" style="105" customWidth="1"/>
    <col min="5" max="9" width="6.421875" style="105" bestFit="1" customWidth="1"/>
    <col min="10" max="10" width="13.57421875" style="105" customWidth="1"/>
    <col min="11" max="11" width="12.8515625" style="105" customWidth="1"/>
    <col min="12" max="12" width="20.57421875" style="105" bestFit="1" customWidth="1"/>
    <col min="13" max="16384" width="10.8515625" style="105" customWidth="1"/>
  </cols>
  <sheetData>
    <row r="1" ht="13.5" thickBot="1"/>
    <row r="2" spans="2:12" ht="29.45" customHeight="1" thickBot="1">
      <c r="B2" s="240" t="s">
        <v>137</v>
      </c>
      <c r="C2" s="240" t="s">
        <v>138</v>
      </c>
      <c r="D2" s="240" t="s">
        <v>165</v>
      </c>
      <c r="E2" s="246" t="s">
        <v>139</v>
      </c>
      <c r="F2" s="247"/>
      <c r="G2" s="247"/>
      <c r="H2" s="247"/>
      <c r="I2" s="248"/>
      <c r="J2" s="240" t="s">
        <v>140</v>
      </c>
      <c r="K2" s="240" t="s">
        <v>141</v>
      </c>
      <c r="L2" s="240" t="s">
        <v>142</v>
      </c>
    </row>
    <row r="3" spans="2:12" ht="15" customHeight="1" thickBot="1">
      <c r="B3" s="241"/>
      <c r="C3" s="241"/>
      <c r="D3" s="241"/>
      <c r="E3" s="106">
        <v>2023</v>
      </c>
      <c r="F3" s="106">
        <v>2024</v>
      </c>
      <c r="G3" s="106">
        <v>2025</v>
      </c>
      <c r="H3" s="106">
        <v>2026</v>
      </c>
      <c r="I3" s="106">
        <v>2027</v>
      </c>
      <c r="J3" s="241"/>
      <c r="K3" s="241"/>
      <c r="L3" s="242"/>
    </row>
    <row r="4" spans="2:12" ht="13.5" thickBot="1">
      <c r="B4" s="243">
        <v>1</v>
      </c>
      <c r="C4" s="107" t="s">
        <v>143</v>
      </c>
      <c r="D4" s="158">
        <v>3</v>
      </c>
      <c r="E4" s="159">
        <v>1</v>
      </c>
      <c r="F4" s="159" t="s">
        <v>56</v>
      </c>
      <c r="G4" s="159">
        <v>1</v>
      </c>
      <c r="H4" s="159" t="s">
        <v>56</v>
      </c>
      <c r="I4" s="159" t="s">
        <v>56</v>
      </c>
      <c r="J4" s="159">
        <v>2</v>
      </c>
      <c r="K4" s="159">
        <v>1</v>
      </c>
      <c r="L4" s="108" t="s">
        <v>144</v>
      </c>
    </row>
    <row r="5" spans="2:12" ht="13.5" customHeight="1" thickBot="1">
      <c r="B5" s="244"/>
      <c r="C5" s="107" t="s">
        <v>145</v>
      </c>
      <c r="D5" s="158">
        <v>3</v>
      </c>
      <c r="E5" s="159" t="s">
        <v>56</v>
      </c>
      <c r="F5" s="159" t="s">
        <v>56</v>
      </c>
      <c r="G5" s="159" t="s">
        <v>56</v>
      </c>
      <c r="H5" s="159">
        <v>1</v>
      </c>
      <c r="I5" s="159">
        <v>1</v>
      </c>
      <c r="J5" s="159">
        <v>2</v>
      </c>
      <c r="K5" s="159">
        <v>1</v>
      </c>
      <c r="L5" s="108" t="s">
        <v>144</v>
      </c>
    </row>
    <row r="6" spans="2:12" ht="13.5" thickBot="1">
      <c r="B6" s="244"/>
      <c r="C6" s="107" t="s">
        <v>146</v>
      </c>
      <c r="D6" s="158">
        <v>3</v>
      </c>
      <c r="E6" s="159" t="s">
        <v>56</v>
      </c>
      <c r="F6" s="159" t="s">
        <v>56</v>
      </c>
      <c r="G6" s="159" t="s">
        <v>56</v>
      </c>
      <c r="H6" s="159">
        <v>1</v>
      </c>
      <c r="I6" s="159">
        <v>1</v>
      </c>
      <c r="J6" s="159">
        <v>2</v>
      </c>
      <c r="K6" s="159">
        <v>1</v>
      </c>
      <c r="L6" s="108" t="s">
        <v>144</v>
      </c>
    </row>
    <row r="7" spans="2:12" ht="13.5" thickBot="1">
      <c r="B7" s="244"/>
      <c r="C7" s="107" t="s">
        <v>147</v>
      </c>
      <c r="D7" s="158">
        <v>7</v>
      </c>
      <c r="E7" s="159" t="s">
        <v>56</v>
      </c>
      <c r="F7" s="159" t="s">
        <v>56</v>
      </c>
      <c r="G7" s="159">
        <v>2</v>
      </c>
      <c r="H7" s="159">
        <v>2</v>
      </c>
      <c r="I7" s="159">
        <v>2</v>
      </c>
      <c r="J7" s="159">
        <v>6</v>
      </c>
      <c r="K7" s="159">
        <v>1</v>
      </c>
      <c r="L7" s="108" t="s">
        <v>148</v>
      </c>
    </row>
    <row r="8" spans="2:12" ht="13.5" thickBot="1">
      <c r="B8" s="245"/>
      <c r="C8" s="107" t="s">
        <v>149</v>
      </c>
      <c r="D8" s="158">
        <v>2</v>
      </c>
      <c r="E8" s="159" t="s">
        <v>56</v>
      </c>
      <c r="F8" s="159" t="s">
        <v>56</v>
      </c>
      <c r="G8" s="159" t="s">
        <v>56</v>
      </c>
      <c r="H8" s="159" t="s">
        <v>56</v>
      </c>
      <c r="I8" s="159" t="s">
        <v>56</v>
      </c>
      <c r="J8" s="159">
        <v>0</v>
      </c>
      <c r="K8" s="159">
        <v>2</v>
      </c>
      <c r="L8" s="108" t="s">
        <v>144</v>
      </c>
    </row>
    <row r="9" spans="2:12" ht="13.5" thickBot="1">
      <c r="B9" s="243">
        <v>2</v>
      </c>
      <c r="C9" s="107" t="s">
        <v>150</v>
      </c>
      <c r="D9" s="158">
        <v>1</v>
      </c>
      <c r="E9" s="159" t="s">
        <v>56</v>
      </c>
      <c r="F9" s="159" t="s">
        <v>56</v>
      </c>
      <c r="G9" s="159" t="s">
        <v>56</v>
      </c>
      <c r="H9" s="159" t="s">
        <v>56</v>
      </c>
      <c r="I9" s="159" t="s">
        <v>56</v>
      </c>
      <c r="J9" s="159">
        <v>0</v>
      </c>
      <c r="K9" s="159">
        <v>1</v>
      </c>
      <c r="L9" s="108" t="s">
        <v>148</v>
      </c>
    </row>
    <row r="10" spans="2:12" ht="13.5" thickBot="1">
      <c r="B10" s="244"/>
      <c r="C10" s="107" t="s">
        <v>151</v>
      </c>
      <c r="D10" s="158">
        <v>3</v>
      </c>
      <c r="E10" s="159">
        <v>2</v>
      </c>
      <c r="F10" s="159" t="s">
        <v>56</v>
      </c>
      <c r="G10" s="159" t="s">
        <v>56</v>
      </c>
      <c r="H10" s="159" t="s">
        <v>56</v>
      </c>
      <c r="I10" s="159" t="s">
        <v>56</v>
      </c>
      <c r="J10" s="159">
        <v>2</v>
      </c>
      <c r="K10" s="159">
        <v>1</v>
      </c>
      <c r="L10" s="108" t="s">
        <v>152</v>
      </c>
    </row>
    <row r="11" spans="2:12" ht="13.5" thickBot="1">
      <c r="B11" s="244"/>
      <c r="C11" s="107" t="s">
        <v>153</v>
      </c>
      <c r="D11" s="158">
        <v>2</v>
      </c>
      <c r="E11" s="159">
        <v>1</v>
      </c>
      <c r="F11" s="159" t="s">
        <v>56</v>
      </c>
      <c r="G11" s="159" t="s">
        <v>56</v>
      </c>
      <c r="H11" s="159" t="s">
        <v>56</v>
      </c>
      <c r="I11" s="159" t="s">
        <v>56</v>
      </c>
      <c r="J11" s="159">
        <v>1</v>
      </c>
      <c r="K11" s="159">
        <v>1</v>
      </c>
      <c r="L11" s="108" t="s">
        <v>148</v>
      </c>
    </row>
    <row r="12" spans="2:12" ht="26.25" thickBot="1">
      <c r="B12" s="244"/>
      <c r="C12" s="107" t="s">
        <v>154</v>
      </c>
      <c r="D12" s="158">
        <v>3</v>
      </c>
      <c r="E12" s="159" t="s">
        <v>56</v>
      </c>
      <c r="F12" s="159" t="s">
        <v>56</v>
      </c>
      <c r="G12" s="159" t="s">
        <v>56</v>
      </c>
      <c r="H12" s="159">
        <v>2</v>
      </c>
      <c r="I12" s="159" t="s">
        <v>56</v>
      </c>
      <c r="J12" s="159">
        <v>2</v>
      </c>
      <c r="K12" s="159">
        <v>1</v>
      </c>
      <c r="L12" s="108" t="s">
        <v>152</v>
      </c>
    </row>
    <row r="13" spans="2:12" ht="13.5" thickBot="1">
      <c r="B13" s="244"/>
      <c r="C13" s="107" t="s">
        <v>155</v>
      </c>
      <c r="D13" s="158">
        <v>2</v>
      </c>
      <c r="E13" s="159" t="s">
        <v>56</v>
      </c>
      <c r="F13" s="159" t="s">
        <v>56</v>
      </c>
      <c r="G13" s="159">
        <v>1</v>
      </c>
      <c r="H13" s="159" t="s">
        <v>56</v>
      </c>
      <c r="I13" s="159" t="s">
        <v>56</v>
      </c>
      <c r="J13" s="159">
        <v>1</v>
      </c>
      <c r="K13" s="159">
        <v>1</v>
      </c>
      <c r="L13" s="108" t="s">
        <v>144</v>
      </c>
    </row>
    <row r="14" spans="2:12" ht="13.5" thickBot="1">
      <c r="B14" s="244"/>
      <c r="C14" s="107" t="s">
        <v>156</v>
      </c>
      <c r="D14" s="158">
        <v>1</v>
      </c>
      <c r="E14" s="159" t="s">
        <v>56</v>
      </c>
      <c r="F14" s="159" t="s">
        <v>56</v>
      </c>
      <c r="G14" s="159" t="s">
        <v>56</v>
      </c>
      <c r="H14" s="159" t="s">
        <v>56</v>
      </c>
      <c r="I14" s="159" t="s">
        <v>56</v>
      </c>
      <c r="J14" s="159">
        <v>0</v>
      </c>
      <c r="K14" s="159">
        <v>1</v>
      </c>
      <c r="L14" s="108" t="s">
        <v>148</v>
      </c>
    </row>
    <row r="15" spans="2:12" ht="13.5" thickBot="1">
      <c r="B15" s="245"/>
      <c r="C15" s="107" t="s">
        <v>157</v>
      </c>
      <c r="D15" s="158">
        <v>1</v>
      </c>
      <c r="E15" s="159" t="s">
        <v>56</v>
      </c>
      <c r="F15" s="159" t="s">
        <v>56</v>
      </c>
      <c r="G15" s="159" t="s">
        <v>56</v>
      </c>
      <c r="H15" s="159" t="s">
        <v>56</v>
      </c>
      <c r="I15" s="159" t="s">
        <v>56</v>
      </c>
      <c r="J15" s="159">
        <v>0</v>
      </c>
      <c r="K15" s="159">
        <v>1</v>
      </c>
      <c r="L15" s="108" t="s">
        <v>148</v>
      </c>
    </row>
  </sheetData>
  <sheetProtection algorithmName="SHA-512" hashValue="+XvM/AMA9cJj05Dm481qmJzzBui+8BQpRh2ksBKYYqU+QGKEmbIDOCEvuWCROSnV0ugrlnN6MZ5xbGkLZkKDtw==" saltValue="VraJmvn21QCq1csAX1ouyg==" spinCount="100000" sheet="1" formatCells="0" formatColumns="0" formatRows="0" insertColumns="0" insertRows="0" insertHyperlinks="0" deleteColumns="0" deleteRows="0" sort="0" autoFilter="0" pivotTables="0"/>
  <mergeCells count="9">
    <mergeCell ref="J2:J3"/>
    <mergeCell ref="K2:K3"/>
    <mergeCell ref="L2:L3"/>
    <mergeCell ref="B4:B8"/>
    <mergeCell ref="B9:B15"/>
    <mergeCell ref="B2:B3"/>
    <mergeCell ref="C2:C3"/>
    <mergeCell ref="D2:D3"/>
    <mergeCell ref="E2:I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CORPOBOYACA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Contratista Corpoboyaca</dc:creator>
  <cp:keywords/>
  <dc:description/>
  <cp:lastModifiedBy>Usuario</cp:lastModifiedBy>
  <dcterms:created xsi:type="dcterms:W3CDTF">2019-05-15T20:41:51Z</dcterms:created>
  <dcterms:modified xsi:type="dcterms:W3CDTF">2022-11-10T18:07:39Z</dcterms:modified>
  <cp:category/>
  <cp:version/>
  <cp:contentType/>
  <cp:contentStatus/>
</cp:coreProperties>
</file>